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lp\Desktop\2022 rok\Chodniki ul. Orla i Warszawska\"/>
    </mc:Choice>
  </mc:AlternateContent>
  <xr:revisionPtr revIDLastSave="0" documentId="13_ncr:1_{517E4A6D-10E1-471D-8540-01FCF5883345}" xr6:coauthVersionLast="47" xr6:coauthVersionMax="47" xr10:uidLastSave="{00000000-0000-0000-0000-000000000000}"/>
  <bookViews>
    <workbookView xWindow="-110" yWindow="-110" windowWidth="18490" windowHeight="11020" tabRatio="803" firstSheet="1" activeTab="1" xr2:uid="{00000000-000D-0000-FFFF-FFFF00000000}"/>
  </bookViews>
  <sheets>
    <sheet name="PRZEDMIAR" sheetId="85" state="hidden" r:id="rId1"/>
    <sheet name="KOSZTORYS INWESTORSKI" sheetId="91" r:id="rId2"/>
    <sheet name="&lt;--przepusty" sheetId="74" state="hidden" r:id="rId3"/>
  </sheets>
  <definedNames>
    <definedName name="_od1" localSheetId="1">#REF!</definedName>
    <definedName name="_od1">#REF!</definedName>
    <definedName name="_od2" localSheetId="1">#REF!</definedName>
    <definedName name="_od2">#REF!</definedName>
    <definedName name="_od3" localSheetId="1">#REF!</definedName>
    <definedName name="_od3">#REF!</definedName>
    <definedName name="_od4" localSheetId="1">#REF!</definedName>
    <definedName name="_od4">#REF!</definedName>
    <definedName name="_ods1" localSheetId="1">#REF!</definedName>
    <definedName name="_ods1">#REF!</definedName>
    <definedName name="_ods2" localSheetId="1">#REF!</definedName>
    <definedName name="_ods2">#REF!</definedName>
    <definedName name="_ods3" localSheetId="1">#REF!</definedName>
    <definedName name="_ods3">#REF!</definedName>
    <definedName name="_ods4" localSheetId="1">#REF!</definedName>
    <definedName name="_ods4">#REF!</definedName>
    <definedName name="_xlnm.Print_Area" localSheetId="0">PRZEDMIAR!$B$3:$F$65</definedName>
    <definedName name="_xlnm.Print_Area">#REF!</definedName>
    <definedName name="posz1" localSheetId="1">#REF!</definedName>
    <definedName name="posz1">#REF!</definedName>
    <definedName name="posz2" localSheetId="1">#REF!</definedName>
    <definedName name="posz2">#REF!</definedName>
    <definedName name="posz3" localSheetId="1">#REF!</definedName>
    <definedName name="posz3">#REF!</definedName>
    <definedName name="_xlnm.Print_Titles" localSheetId="0">PRZEDMIAR!$5:$6</definedName>
    <definedName name="_xlnm.Print_Titles">#REF!</definedName>
    <definedName name="Z_5E068C25_D435_46DE_A64A_D205E9289932_.wvu.PrintArea" localSheetId="2" hidden="1">'&lt;--przepusty'!$A$1:$J$45</definedName>
    <definedName name="Z_D77CCF3B_D797_41D0_B6E1_DD959026208A_.wvu.PrintArea" localSheetId="2" hidden="1">'&lt;--przepusty'!$A$1:$J$45</definedName>
  </definedNames>
  <calcPr calcId="181029"/>
  <customWorkbookViews>
    <customWorkbookView name="skrk - Widok osobisty" guid="{DFD46085-7CA0-4148-BC6E-BB530038F726}" mergeInterval="0" personalView="1" maximized="1" xWindow="1" yWindow="1" windowWidth="1916" windowHeight="983" tabRatio="938" activeSheetId="56"/>
    <customWorkbookView name="lewl - Widok osobisty" guid="{D77CCF3B-D797-41D0-B6E1-DD959026208A}" mergeInterval="0" personalView="1" maximized="1" xWindow="1" yWindow="1" windowWidth="1810" windowHeight="999" tabRatio="938" activeSheetId="3"/>
    <customWorkbookView name="kalr - Widok osobisty" guid="{5E068C25-D435-46DE-A64A-D205E9289932}" mergeInterval="0" personalView="1" maximized="1" xWindow="1" yWindow="1" windowWidth="1920" windowHeight="983" tabRatio="938" activeSheetId="58"/>
    <customWorkbookView name="wojl - Widok osobisty" guid="{0083642F-FC64-4801-91A4-9AFA22F77273}" mergeInterval="0" personalView="1" xWindow="6" yWindow="25" windowWidth="3499" windowHeight="1050" tabRatio="938" activeSheetId="6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85" l="1"/>
  <c r="F22" i="85"/>
  <c r="F62" i="85" l="1"/>
  <c r="F60" i="85"/>
  <c r="F58" i="85"/>
  <c r="F57" i="85"/>
  <c r="F56" i="85"/>
  <c r="F45" i="85"/>
  <c r="F36" i="85"/>
  <c r="F30" i="85"/>
  <c r="F28" i="85"/>
  <c r="F38" i="85" s="1"/>
  <c r="F26" i="85"/>
  <c r="F32" i="85" s="1"/>
  <c r="F19" i="85"/>
  <c r="F16" i="85"/>
  <c r="F17" i="85"/>
  <c r="F13" i="85"/>
  <c r="F15" i="85"/>
  <c r="F14" i="85"/>
  <c r="F11" i="85"/>
  <c r="F9" i="85"/>
  <c r="F33" i="85" l="1"/>
  <c r="B11" i="85" l="1"/>
  <c r="B13" i="85" l="1"/>
  <c r="B14" i="85" s="1"/>
  <c r="B15" i="85" s="1"/>
  <c r="B16" i="85" l="1"/>
  <c r="B17" i="85" s="1"/>
  <c r="B18" i="85" s="1"/>
  <c r="B19" i="85" s="1"/>
  <c r="B20" i="85" s="1"/>
  <c r="B21" i="85" s="1"/>
  <c r="B22" i="85" s="1"/>
  <c r="B23" i="85" l="1"/>
  <c r="B26" i="85" s="1"/>
  <c r="B27" i="85" l="1"/>
  <c r="D9" i="74"/>
  <c r="E9" i="74"/>
  <c r="H9" i="74"/>
  <c r="I9" i="74"/>
  <c r="J9" i="74"/>
  <c r="D10" i="74"/>
  <c r="E10" i="74"/>
  <c r="H10" i="74"/>
  <c r="I10" i="74"/>
  <c r="J10" i="74"/>
  <c r="D11" i="74"/>
  <c r="E11" i="74"/>
  <c r="H11" i="74"/>
  <c r="I11" i="74"/>
  <c r="J11" i="74"/>
  <c r="D12" i="74"/>
  <c r="E12" i="74"/>
  <c r="H12" i="74"/>
  <c r="I12" i="74"/>
  <c r="J12" i="74"/>
  <c r="D13" i="74"/>
  <c r="E13" i="74"/>
  <c r="H13" i="74"/>
  <c r="I13" i="74"/>
  <c r="J13" i="74"/>
  <c r="D14" i="74"/>
  <c r="E14" i="74"/>
  <c r="H14" i="74"/>
  <c r="I14" i="74"/>
  <c r="J14" i="74"/>
  <c r="D15" i="74"/>
  <c r="E15" i="74"/>
  <c r="H15" i="74"/>
  <c r="I15" i="74"/>
  <c r="J15" i="74"/>
  <c r="D16" i="74"/>
  <c r="E16" i="74"/>
  <c r="H16" i="74"/>
  <c r="I16" i="74"/>
  <c r="J16" i="74"/>
  <c r="D17" i="74"/>
  <c r="E17" i="74"/>
  <c r="H17" i="74"/>
  <c r="I17" i="74"/>
  <c r="J17" i="74"/>
  <c r="D18" i="74"/>
  <c r="E18" i="74"/>
  <c r="H18" i="74"/>
  <c r="I18" i="74"/>
  <c r="J18" i="74"/>
  <c r="D19" i="74"/>
  <c r="E19" i="74"/>
  <c r="H19" i="74"/>
  <c r="I19" i="74"/>
  <c r="J19" i="74"/>
  <c r="D20" i="74"/>
  <c r="E20" i="74"/>
  <c r="H20" i="74"/>
  <c r="I20" i="74"/>
  <c r="J20" i="74"/>
  <c r="D21" i="74"/>
  <c r="E21" i="74"/>
  <c r="H21" i="74"/>
  <c r="I21" i="74"/>
  <c r="J21" i="74"/>
  <c r="D22" i="74"/>
  <c r="E22" i="74"/>
  <c r="H22" i="74"/>
  <c r="I22" i="74"/>
  <c r="J22" i="74"/>
  <c r="D23" i="74"/>
  <c r="E23" i="74"/>
  <c r="H23" i="74"/>
  <c r="I23" i="74"/>
  <c r="J23" i="74"/>
  <c r="D24" i="74"/>
  <c r="E24" i="74"/>
  <c r="H24" i="74"/>
  <c r="I24" i="74"/>
  <c r="J24" i="74"/>
  <c r="D25" i="74"/>
  <c r="E25" i="74"/>
  <c r="H25" i="74"/>
  <c r="I25" i="74"/>
  <c r="J25" i="74"/>
  <c r="D26" i="74"/>
  <c r="E26" i="74"/>
  <c r="H26" i="74"/>
  <c r="I26" i="74"/>
  <c r="J26" i="74"/>
  <c r="D27" i="74"/>
  <c r="E27" i="74"/>
  <c r="H27" i="74"/>
  <c r="I27" i="74"/>
  <c r="J27" i="74"/>
  <c r="D28" i="74"/>
  <c r="E28" i="74"/>
  <c r="H28" i="74"/>
  <c r="I28" i="74"/>
  <c r="J28" i="74"/>
  <c r="D29" i="74"/>
  <c r="E29" i="74"/>
  <c r="H29" i="74"/>
  <c r="I29" i="74"/>
  <c r="J29" i="74"/>
  <c r="D30" i="74"/>
  <c r="E30" i="74"/>
  <c r="H30" i="74"/>
  <c r="I30" i="74"/>
  <c r="J30" i="74"/>
  <c r="D31" i="74"/>
  <c r="E31" i="74"/>
  <c r="H31" i="74"/>
  <c r="I31" i="74"/>
  <c r="J31" i="74"/>
  <c r="D32" i="74"/>
  <c r="E32" i="74"/>
  <c r="H32" i="74"/>
  <c r="I32" i="74"/>
  <c r="J32" i="74"/>
  <c r="D33" i="74"/>
  <c r="E33" i="74"/>
  <c r="H33" i="74"/>
  <c r="I33" i="74"/>
  <c r="J33" i="74"/>
  <c r="D34" i="74"/>
  <c r="E34" i="74"/>
  <c r="H34" i="74"/>
  <c r="I34" i="74"/>
  <c r="J34" i="74"/>
  <c r="D35" i="74"/>
  <c r="E35" i="74"/>
  <c r="H35" i="74"/>
  <c r="I35" i="74"/>
  <c r="J35" i="74"/>
  <c r="D36" i="74"/>
  <c r="E36" i="74"/>
  <c r="H36" i="74"/>
  <c r="I36" i="74"/>
  <c r="J36" i="74"/>
  <c r="D37" i="74"/>
  <c r="E37" i="74"/>
  <c r="H37" i="74"/>
  <c r="I37" i="74"/>
  <c r="J37" i="74"/>
  <c r="D38" i="74"/>
  <c r="E38" i="74"/>
  <c r="H38" i="74"/>
  <c r="I38" i="74"/>
  <c r="J38" i="74"/>
  <c r="D39" i="74"/>
  <c r="E39" i="74"/>
  <c r="H39" i="74"/>
  <c r="I39" i="74"/>
  <c r="J39" i="74"/>
  <c r="D40" i="74"/>
  <c r="E40" i="74"/>
  <c r="H40" i="74"/>
  <c r="I40" i="74"/>
  <c r="J40" i="74"/>
  <c r="D41" i="74"/>
  <c r="E41" i="74"/>
  <c r="H41" i="74"/>
  <c r="I41" i="74"/>
  <c r="J41" i="74"/>
  <c r="D42" i="74"/>
  <c r="E42" i="74"/>
  <c r="H42" i="74"/>
  <c r="I42" i="74"/>
  <c r="J42" i="74"/>
  <c r="D43" i="74"/>
  <c r="E43" i="74"/>
  <c r="H43" i="74"/>
  <c r="I43" i="74"/>
  <c r="J43" i="74"/>
  <c r="D44" i="74"/>
  <c r="E44" i="74"/>
  <c r="H44" i="74"/>
  <c r="I44" i="74"/>
  <c r="J44" i="74"/>
  <c r="C45" i="74"/>
  <c r="F45" i="74"/>
  <c r="G45" i="74"/>
  <c r="B28" i="85" l="1"/>
  <c r="E45" i="74"/>
  <c r="H45" i="74"/>
  <c r="J45" i="74"/>
  <c r="D45" i="74"/>
  <c r="I45" i="74"/>
  <c r="B30" i="85" l="1"/>
  <c r="B32" i="85" s="1"/>
  <c r="B33" i="85" s="1"/>
  <c r="B36" i="85" l="1"/>
  <c r="B38" i="85" s="1"/>
  <c r="B39" i="85" s="1"/>
  <c r="B42" i="85" l="1"/>
  <c r="B45" i="85" s="1"/>
  <c r="B46" i="85" s="1"/>
  <c r="B47" i="85" s="1"/>
  <c r="B48" i="85" s="1"/>
  <c r="B49" i="85" s="1"/>
  <c r="B51" i="85" s="1"/>
  <c r="B52" i="85" l="1"/>
  <c r="B53" i="85" s="1"/>
  <c r="B56" i="85" s="1"/>
  <c r="B57" i="85" l="1"/>
  <c r="B58" i="85" s="1"/>
  <c r="B60" i="85" s="1"/>
  <c r="B62" i="85" l="1"/>
  <c r="B65" i="85" s="1"/>
</calcChain>
</file>

<file path=xl/sharedStrings.xml><?xml version="1.0" encoding="utf-8"?>
<sst xmlns="http://schemas.openxmlformats.org/spreadsheetml/2006/main" count="267" uniqueCount="183">
  <si>
    <t>Wykaz  - 18</t>
  </si>
  <si>
    <t>WYKAZ ROBÓT PRZY BUDOWIE PRZEPUSTÓW POD PRZEJŚCIAMI AWARYJNYMI</t>
  </si>
  <si>
    <t>Autostrada A2 odcinek D1, km 431+500.00 - km 441+143.53</t>
  </si>
  <si>
    <t>km autostrady A2</t>
  </si>
  <si>
    <t xml:space="preserve">432+846.00 </t>
  </si>
  <si>
    <t xml:space="preserve">433+021.00 </t>
  </si>
  <si>
    <t xml:space="preserve">433+233.00 </t>
  </si>
  <si>
    <t xml:space="preserve">433+416.00 </t>
  </si>
  <si>
    <t xml:space="preserve">433+675.00 </t>
  </si>
  <si>
    <t xml:space="preserve">433+855.00 </t>
  </si>
  <si>
    <t xml:space="preserve">434+030.00 </t>
  </si>
  <si>
    <t xml:space="preserve">434+993.00 </t>
  </si>
  <si>
    <t xml:space="preserve">435+186.00 </t>
  </si>
  <si>
    <t xml:space="preserve">435+379.00 </t>
  </si>
  <si>
    <t xml:space="preserve">435+572.00 </t>
  </si>
  <si>
    <t xml:space="preserve">435+765.00 </t>
  </si>
  <si>
    <t xml:space="preserve">435+958.00 </t>
  </si>
  <si>
    <t xml:space="preserve">436+350.00 </t>
  </si>
  <si>
    <t xml:space="preserve">436+550.00 </t>
  </si>
  <si>
    <t xml:space="preserve">436+600.00 </t>
  </si>
  <si>
    <t xml:space="preserve">436+800.00 </t>
  </si>
  <si>
    <t xml:space="preserve">438+409.00 </t>
  </si>
  <si>
    <t xml:space="preserve">438+225.00 </t>
  </si>
  <si>
    <t xml:space="preserve">439+016.00 </t>
  </si>
  <si>
    <t xml:space="preserve">439+216.00 </t>
  </si>
  <si>
    <t xml:space="preserve">439+402.00 </t>
  </si>
  <si>
    <t xml:space="preserve">439+592.00 </t>
  </si>
  <si>
    <t xml:space="preserve">439+774.00 </t>
  </si>
  <si>
    <t xml:space="preserve">439+960.00 </t>
  </si>
  <si>
    <t xml:space="preserve">440+146.00 </t>
  </si>
  <si>
    <t xml:space="preserve">440+300.00 </t>
  </si>
  <si>
    <t xml:space="preserve">440+512.00 </t>
  </si>
  <si>
    <t xml:space="preserve">440+712.00 </t>
  </si>
  <si>
    <t xml:space="preserve">440+912.00 </t>
  </si>
  <si>
    <t xml:space="preserve">441+112.00 </t>
  </si>
  <si>
    <t>Długość rury stalowej</t>
  </si>
  <si>
    <t>DN 500</t>
  </si>
  <si>
    <t>Nasyp</t>
  </si>
  <si>
    <t>Umocnienie brukiem na podbud. z piasku stab. cement. czoła przepustu</t>
  </si>
  <si>
    <t>Umocnienie brukiem na podbud. z piasku stab. cement. wlotu i wylotu przepustu</t>
  </si>
  <si>
    <t>Umocnienie darniną</t>
  </si>
  <si>
    <t>Geotkanina polipropylenowa</t>
  </si>
  <si>
    <t>Geowłóknina polipropylenowa</t>
  </si>
  <si>
    <t>Mieszanka żwir.-piask.   0-32mm</t>
  </si>
  <si>
    <t>0+638.00 DL 2</t>
  </si>
  <si>
    <t>0+484.40 DL 2</t>
  </si>
  <si>
    <t>0+326.40 DL 2</t>
  </si>
  <si>
    <t>0+039.00 DL 1</t>
  </si>
  <si>
    <t>0+235.00 DL 1</t>
  </si>
  <si>
    <t>m2</t>
  </si>
  <si>
    <t>m</t>
  </si>
  <si>
    <t>m3</t>
  </si>
  <si>
    <t>Materac z kruszywa naturalnego</t>
  </si>
  <si>
    <t>SUMA:</t>
  </si>
  <si>
    <t>Lokalizacja</t>
  </si>
  <si>
    <t>L</t>
  </si>
  <si>
    <t>P</t>
  </si>
  <si>
    <t>__</t>
  </si>
  <si>
    <t>mb</t>
  </si>
  <si>
    <t>Strona</t>
  </si>
  <si>
    <t>L.p.</t>
  </si>
  <si>
    <t>Nr Specyfikacji Technicznej</t>
  </si>
  <si>
    <t>Rodzaj robót</t>
  </si>
  <si>
    <t>jednostka</t>
  </si>
  <si>
    <t>ilość</t>
  </si>
  <si>
    <t>D.01.00.00</t>
  </si>
  <si>
    <t xml:space="preserve"> ROBOTY PRZYGOTOWAWCZE</t>
  </si>
  <si>
    <t>D.01.01.01</t>
  </si>
  <si>
    <r>
      <t>m</t>
    </r>
    <r>
      <rPr>
        <vertAlign val="superscript"/>
        <sz val="10"/>
        <rFont val="Arial"/>
        <family val="2"/>
      </rPr>
      <t>2</t>
    </r>
  </si>
  <si>
    <t>PODBUDOWY</t>
  </si>
  <si>
    <t>D.05.00.00</t>
  </si>
  <si>
    <t>NAWIERZCHNIE</t>
  </si>
  <si>
    <t>D.04.01.01</t>
  </si>
  <si>
    <t>Koryto wraz z profilowaniem i zagęszczeniem podłoża</t>
  </si>
  <si>
    <t>Wyszczególnienie elementów rozliczeniowych</t>
  </si>
  <si>
    <t>nazwa</t>
  </si>
  <si>
    <t>Jednostka</t>
  </si>
  <si>
    <t>D.05.03.23</t>
  </si>
  <si>
    <t>D.08.00.00</t>
  </si>
  <si>
    <t>D.08.01.01</t>
  </si>
  <si>
    <t>D.08.03.01</t>
  </si>
  <si>
    <t>Betonowe obrzeża chodnikowe</t>
  </si>
  <si>
    <t>D.04.00.00</t>
  </si>
  <si>
    <t>D.04.04.02</t>
  </si>
  <si>
    <r>
      <t>m</t>
    </r>
    <r>
      <rPr>
        <sz val="10"/>
        <rFont val="Calibri"/>
        <family val="2"/>
        <charset val="238"/>
      </rPr>
      <t>³</t>
    </r>
  </si>
  <si>
    <t>ELEMENTY ULIC I DRÓG</t>
  </si>
  <si>
    <t>D.10.00.00</t>
  </si>
  <si>
    <t>INNE ROBOTY</t>
  </si>
  <si>
    <t>Odtworzenie trasy i punktów wysokościowych</t>
  </si>
  <si>
    <t>Nawierzchnie z kostki brukowej betonowej</t>
  </si>
  <si>
    <t>D.01.02.02</t>
  </si>
  <si>
    <t>`</t>
  </si>
  <si>
    <t>D.06.00.00</t>
  </si>
  <si>
    <t>ROBOTY WYKOŃCZENIOWE</t>
  </si>
  <si>
    <t>D.06.01.01</t>
  </si>
  <si>
    <t>D.07.00.00</t>
  </si>
  <si>
    <t>URZĄDZENIA BEZPIECZEŃSTWA RUCHU</t>
  </si>
  <si>
    <t>D.07.02.01</t>
  </si>
  <si>
    <t>Oznakowanie Pionowe</t>
  </si>
  <si>
    <t>D.10.01.05</t>
  </si>
  <si>
    <t>D.05.03.17</t>
  </si>
  <si>
    <t>km</t>
  </si>
  <si>
    <t>szt.</t>
  </si>
  <si>
    <t>Zdjęcie warstwy humusu lub darniny</t>
  </si>
  <si>
    <t>Rozbiórka elementów dróg, ogrodzeń i przepustów</t>
  </si>
  <si>
    <t>Podbudowa z kruszywa łamanego stabilizawanego mechanicznie</t>
  </si>
  <si>
    <t>Remont cząstkowy nawierzchni bitumicznych</t>
  </si>
  <si>
    <t>Umocnienie powierzchniowe humusowaniem i obsianiem</t>
  </si>
  <si>
    <t>Regulacja pionowa studzienek kanalizacyjnych, zaworów wodociągowych, gazowych i studni teletechnicznych</t>
  </si>
  <si>
    <t>D.01.02.04</t>
  </si>
  <si>
    <t>PRZEDMIAR ROBÓT
Zestawienie zbiorcze</t>
  </si>
  <si>
    <r>
      <t>m</t>
    </r>
    <r>
      <rPr>
        <vertAlign val="superscript"/>
        <sz val="10"/>
        <rFont val="Arial"/>
        <family val="2"/>
        <charset val="238"/>
      </rPr>
      <t>2</t>
    </r>
  </si>
  <si>
    <t>D.04.02.01</t>
  </si>
  <si>
    <t>Warstwy odsączjace i odcinające</t>
  </si>
  <si>
    <t xml:space="preserve">Krawężniki betonowe </t>
  </si>
  <si>
    <t xml:space="preserve">Odtworzenie trasy i punktów wysokościowych przy liniowych robotach ziemnych (drogi) w terenie równinnym, obsługa geodezyjna, inwentaryzacja powykonawcza, zastabiliowanie punktów osnowy geodezyjnej w sposób trwały, ochrona ich przed zniszczeniem oraz oznakowanie w sposób ułatwiający odszukanie </t>
  </si>
  <si>
    <t xml:space="preserve">Dodatek za każdy dalszy 1 km przewozu gruzu ponad 1 km (przyjęto wywóz na odległość 15km) </t>
  </si>
  <si>
    <t>Rozebranie słupków do znaków drogowych</t>
  </si>
  <si>
    <t>Zdjęcie tarcz znaków drogowych</t>
  </si>
  <si>
    <t>Wykonanie podbudowy z kruszywa łamanego 0/31.5mm stabilizowanego mechanicznie, grubość warstwy po zagęszczeniu 15 cm, (chodniki)</t>
  </si>
  <si>
    <t>D.07.01.01</t>
  </si>
  <si>
    <t>Oznakowanie Poziome</t>
  </si>
  <si>
    <t>Przymocowanie tarcz znaków drogowych z blachy ocynkowanej, odblaskowych do gotowych słupków, typ D, folia odblaskowa II generacji</t>
  </si>
  <si>
    <t>Przymocowanie tablic znaków drogowych z blachy ocynkowanej, odblaskowych do gotowych słupków, typ T, folia odblaskowa II generacji, (0,36+0,18+0,18)</t>
  </si>
  <si>
    <t>D.08.02.02</t>
  </si>
  <si>
    <t>Chodniki z brukowej kostki betonowej</t>
  </si>
  <si>
    <r>
      <t>m</t>
    </r>
    <r>
      <rPr>
        <vertAlign val="superscript"/>
        <sz val="10"/>
        <color theme="1"/>
        <rFont val="Arial"/>
        <family val="2"/>
      </rPr>
      <t>2</t>
    </r>
  </si>
  <si>
    <t>Opracowanie dokumentacji dla potrzeb remontu chodników w ul. Dłuskiego</t>
  </si>
  <si>
    <t>Zdjęcie warstwy ziemi urodzajnej (humusu) o grubosci warstwy do 15 cm       z wywozem (32,0+15,0+15,0)*0,15</t>
  </si>
  <si>
    <t>Rozebranie obrzeży betonowych 8x30cm, na podsypce cementowo-piaskowej (70,0+12,2+23,5+17,0+7,0+25,5+50,0+17,0+19,0+15,0+10,4+11,0+42,0+15,0+2,5)</t>
  </si>
  <si>
    <t>Rozebranie krawężników betonowych z ławami betonowymi (65,0+13,0+47,0+24,0+17,5+38,0+55,0+16,0+140,0)</t>
  </si>
  <si>
    <t>Rozebranie nawierzchni z kostki betonowej ułożonej na podsypce cementowo-piaskowej, (17,5+28,0)</t>
  </si>
  <si>
    <t>Rozebranie nawierzchni z mieszanek mineralno - bitmicznych, gr. nawierzchni 5cm, (34,0+176,0)</t>
  </si>
  <si>
    <t xml:space="preserve">Rozebranie podbudowy z kruszywa naturalnego, grub. warstwy 15 cm, </t>
  </si>
  <si>
    <t xml:space="preserve">Rozebranie podbudowy z kruszywa łamanego, grub. warstwy 15 cm, </t>
  </si>
  <si>
    <t>Rozebranie chodników, zjazdów z płyt betonowych 50x50x7cm, ułożonej na podsypce cementowo-piaskowej, (207,0+72,0+126,0+43,0+48,0+45,0+25,0+98,0+40,0+35,4+35,0+23,0+24,0)</t>
  </si>
  <si>
    <t>Koryto wykonane mechanicznie wraz z profilowaniem i zagęszczeczniem na całej szerokości chodników mechanicznie w gruncie kat. II-IV, głębokość koryta 10cm, (285,0+99,0+32,0+34,0+30,0+20,0+197,0)</t>
  </si>
  <si>
    <t xml:space="preserve">Koryto wykonane mechanicznie wraz z profilowaniem i zagęszczeniem na całej szerokości zatoki postojowej mechanicznie w gruncie kat. II-IV, głębokość koryta 30cm, </t>
  </si>
  <si>
    <t>Koryto wykonane mechanicznie wraz z profilowaniem i zagęszczeniem na całej szerokości zjazdów mechanicznie w gruncie kat. II-IV, głębokość koryta 30cm (36,0+36,0+36,0+36,0+17,5+26,9)</t>
  </si>
  <si>
    <t>Wykonanie warstwy odsączająecj z posółki o grubości 10cm (zatoka postojowa i zjazdy)</t>
  </si>
  <si>
    <t>Wykonanie podbudowy z kruszywa łamanego 0/31.5mm stabilizowanego mechanicznie, grubość warstwy po zagęszczeniu 20 cm (zatoka postojowa i zjazdy)</t>
  </si>
  <si>
    <t>Wykonanie uzupełnienia ubytku istniejacej nawierzchni masą zalewowa na zimno (330,0)*0,1</t>
  </si>
  <si>
    <t>Wykonanie nawierzchni z kostki brukowej betonowej grafitowej o grubości 8cm na podsypce cementowo-piaskowej, spoiny wypełnione piaskiem (zjazdy, zatoka postojowa)</t>
  </si>
  <si>
    <t>Wykonanie nawierzchni z kostki brukowej betonowej czerwonej o grubości 8cm na podsypce cementowo-piaskowej, spoiny wypełnione piaskiem (kostka segregacyjna)</t>
  </si>
  <si>
    <t xml:space="preserve">Humusowanie z obsianiem przy grubości warstwy ziemi urodzajnej (humusu), gr. 15 cm </t>
  </si>
  <si>
    <t>Oznakowanie poziome jezdni farbą białą akrylową z elementami odblaskowymi - oznakowanie P-24 i P-20</t>
  </si>
  <si>
    <t>Ustawienie słupków z rur stalowych dla znaków drogowych o średnicy 70 mm, z wykopaniem z zasypaniem dołów i ubiciem warstwami.</t>
  </si>
  <si>
    <t>Ustawienie oporników betonowych 12x25x100cm na ławie betonowej             z oporem C12/15, (5,0+15,0+15,0+15,0+15,0+8,0+11,0)</t>
  </si>
  <si>
    <t>Ustawienie krawężników betonowych wyniesionych 15x30cm wraz z wykonaniem ławy betonowej z oporem C12/15 (62,3+37,0+26,0+45,8+14,5+15,5+13,7+9,0+64,0)</t>
  </si>
  <si>
    <t>Ustawienie krawężników betonowych wtopionych 15x30cm wraz z wykonaniem ławy betonowej z oporem C12/15 (38,0+10,0+7,0+7,0+7,0+7,0+7,0+7,0)</t>
  </si>
  <si>
    <t>Wykonanie chodników z kostki brukowej betonowej o grubości 6 cm, czerwonej, na podsypce cementowo-piaskowej, spoiny wypełnione piaskiem, (285,0+99,0+32,0+34,0+30,0+20,0+197,0)</t>
  </si>
  <si>
    <t>Ustawienie obrzeży betonowych o wymiarach 30x8 cm na podsypce cementowo-piaskowej, spoiny wypełnione zaprawą cementową (70,0+26,5+44,5+50,0+16,5+17,5+15,5+10,5+58,0+30,0+3,5)</t>
  </si>
  <si>
    <t xml:space="preserve">Regulacja pionowa studni teletechnicznych. </t>
  </si>
  <si>
    <t>Wywiezienie gruzu z terenu rozbiórki samochodami na odl. do 1km (821,40*0,07+337,10*0,08*0,3+415,50*0,15*0,3+415,50*0,08+210,0*0,05+45,50*0,08+821,40*0,15+255,5*0,15)*1,25</t>
  </si>
  <si>
    <t>Oznakowanie poziome jezdni farbą białą akrylową z elementami odblaskowymi - linie ciągłe - P-4</t>
  </si>
  <si>
    <t>Pomalowanie miejsc dla niepłnosprawnych farbą niebieską akrylową z elementami odblaskowymi</t>
  </si>
  <si>
    <t>Oznakowanie poziome jezdni farbą białą akrylową z elementami odblaskowymi - linie przerywane (P-1e, P-7a)</t>
  </si>
  <si>
    <t>Oznakowanie poziome jezdni farbą białą akrylową z elementami odblaskowymi - linie przejściach i skrzyżowaniach - P-13</t>
  </si>
  <si>
    <t>Cena jednostkowa netto [PLN]</t>
  </si>
  <si>
    <t>Wartość netto [PLN]</t>
  </si>
  <si>
    <t>Wartość kosztorysowa robót (bez podatku VAT)</t>
  </si>
  <si>
    <r>
      <t>m</t>
    </r>
    <r>
      <rPr>
        <vertAlign val="superscript"/>
        <sz val="10"/>
        <rFont val="Arial"/>
        <family val="2"/>
        <charset val="238"/>
      </rPr>
      <t>3</t>
    </r>
  </si>
  <si>
    <t>Ustawienie krawężnika betonowego o wymiarach 15x30 cm na ławie betonowej z oporem</t>
  </si>
  <si>
    <t>Opracowanie i wprowadzenie projektu organizacji ruchu na czas prowadzenia robót budowlanych</t>
  </si>
  <si>
    <t>kpl</t>
  </si>
  <si>
    <t>Regulacja wysokościowa studzienek telefonicznych</t>
  </si>
  <si>
    <t xml:space="preserve">Wykonanie podbudowy pod chodnik z kruszywa łamanego o frakcji 0/31,5 mm, grubość warstwy 15 cm po zagęszczeniu </t>
  </si>
  <si>
    <t>VAT-23%</t>
  </si>
  <si>
    <t>Wartość kosztorysowa robót (z podatkiem VAT)</t>
  </si>
  <si>
    <t>Rozebranie chodnika z kostki betonowej z wywozem na odległośc okresloną przez Wykonawcę</t>
  </si>
  <si>
    <t>Rozebranie krawężnika betonowego z wywozem na odległość okresloną przez Wykonawcę</t>
  </si>
  <si>
    <t>Rozebranie obrzeży betonowych z wywozem na odległość okresloną przez Wykonawcę</t>
  </si>
  <si>
    <t>Roboty ziemne - wykonania koryta pod warstwy konstrukcyjne wraz z wywozem ziemi na odległośc okresloną przez Wykonawcę</t>
  </si>
  <si>
    <t>Profilowanie i zagęszczanie podłoza pod warstwy konstrukcyjne</t>
  </si>
  <si>
    <t xml:space="preserve">Modernizacja chodnika w ul. Orlej i Warszawskiej przyległych do Ronda im. kpt. Migdalskiego w Otwocku                                                </t>
  </si>
  <si>
    <t>Ustawienie obrzeży betonowych brązowych o wymiarach 6x20 cm na ławie betonowej z oporem</t>
  </si>
  <si>
    <t>Wykonanie chodnika z kostki betonowej gr. 8 cm szarej Behaton na podsypce cementowo-piaskowej z wypełnieniem spoin piaskiem</t>
  </si>
  <si>
    <t>Wykonanie chodnika z płyt betonowych 50x50x7 cm szarych na podsypce cementowo-piaskowej z wypełnieniem spoin piaskiem</t>
  </si>
  <si>
    <t xml:space="preserve">Wykonanie obramowania chodnika z kostki betonowej z posypką granitową na podsypce cementowo-piaskowej </t>
  </si>
  <si>
    <t>Ułożenie przed przejściami dla pieszych żółtych płytek lub kostki  betonowej z wypustkami na podsypce cementowo-piaskowej z wypełnieniem spoin piaskiem</t>
  </si>
  <si>
    <t>Regulacja wysokościowa włazów od studni chłonnych</t>
  </si>
  <si>
    <t>KOSZTORYS  OFERTOWY</t>
  </si>
  <si>
    <t>Ustawienie obrzeży betonowych szarych o wymiarach 8x30 cm na ławie betonowej z oporem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</si>
</sst>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z_ł_-;\-* #,##0.00\ _z_ł_-;_-* &quot;-&quot;??\ _z_ł_-;_-@_-"/>
    <numFmt numFmtId="165" formatCode="0\+000"/>
    <numFmt numFmtId="166" formatCode="0.0"/>
    <numFmt numFmtId="167" formatCode="0.000"/>
  </numFmts>
  <fonts count="36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PL Courier New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4"/>
      <color indexed="8"/>
      <name val="Czcionka tekstu podstawowego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vertAlign val="superscript"/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theme="1"/>
      <name val="Czcionka tekstu podstawowego"/>
      <charset val="238"/>
    </font>
    <font>
      <b/>
      <sz val="1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MS Sans Serif"/>
      <family val="2"/>
      <charset val="238"/>
    </font>
    <font>
      <vertAlign val="superscript"/>
      <sz val="10"/>
      <name val="Arial"/>
      <family val="2"/>
    </font>
    <font>
      <sz val="10"/>
      <name val="PL Times New Roman"/>
    </font>
    <font>
      <b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Czcionka tekstu podstawowego"/>
      <charset val="238"/>
    </font>
    <font>
      <sz val="11"/>
      <color theme="1"/>
      <name val="Czcionka tekstu podstawowego"/>
      <family val="2"/>
      <charset val="238"/>
    </font>
    <font>
      <sz val="10"/>
      <name val="Calibri"/>
      <family val="2"/>
      <charset val="238"/>
    </font>
    <font>
      <vertAlign val="superscript"/>
      <sz val="10"/>
      <name val="Arial"/>
      <family val="2"/>
      <charset val="238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1"/>
      <color theme="1"/>
      <name val="Czcionka tekstu podstawowego"/>
      <charset val="238"/>
    </font>
    <font>
      <b/>
      <sz val="10"/>
      <color theme="1"/>
      <name val="Czcionka tekstu podstawowego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3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3">
    <xf numFmtId="0" fontId="0" fillId="0" borderId="0"/>
    <xf numFmtId="164" fontId="1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2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4" fillId="0" borderId="1" applyNumberFormat="0" applyFont="0" applyFill="0" applyBorder="0" applyProtection="0">
      <alignment vertical="top" wrapText="1"/>
    </xf>
    <xf numFmtId="0" fontId="22" fillId="0" borderId="0"/>
    <xf numFmtId="0" fontId="24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8" fillId="0" borderId="0"/>
  </cellStyleXfs>
  <cellXfs count="165">
    <xf numFmtId="0" fontId="0" fillId="0" borderId="0" xfId="0"/>
    <xf numFmtId="1" fontId="5" fillId="0" borderId="0" xfId="14" applyNumberFormat="1" applyFont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/>
    <xf numFmtId="0" fontId="13" fillId="0" borderId="18" xfId="0" applyFont="1" applyBorder="1" applyAlignment="1">
      <alignment horizontal="center" vertical="center"/>
    </xf>
    <xf numFmtId="0" fontId="14" fillId="0" borderId="0" xfId="0" applyFont="1"/>
    <xf numFmtId="0" fontId="13" fillId="0" borderId="22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/>
    </xf>
    <xf numFmtId="0" fontId="7" fillId="0" borderId="15" xfId="13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7" fillId="0" borderId="26" xfId="13" applyFont="1" applyFill="1" applyBorder="1" applyAlignment="1">
      <alignment horizontal="center" vertical="center" wrapText="1"/>
    </xf>
    <xf numFmtId="0" fontId="16" fillId="0" borderId="16" xfId="0" applyFont="1" applyBorder="1"/>
    <xf numFmtId="0" fontId="16" fillId="0" borderId="16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165" fontId="2" fillId="0" borderId="13" xfId="13" applyNumberFormat="1" applyFont="1" applyBorder="1" applyAlignment="1">
      <alignment horizontal="center" vertical="center"/>
    </xf>
    <xf numFmtId="165" fontId="2" fillId="0" borderId="15" xfId="13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1" fontId="13" fillId="0" borderId="18" xfId="0" applyNumberFormat="1" applyFont="1" applyBorder="1" applyAlignment="1">
      <alignment horizontal="center" vertical="center"/>
    </xf>
    <xf numFmtId="1" fontId="13" fillId="0" borderId="20" xfId="0" applyNumberFormat="1" applyFont="1" applyBorder="1" applyAlignment="1">
      <alignment horizontal="center" vertical="center"/>
    </xf>
    <xf numFmtId="166" fontId="13" fillId="0" borderId="18" xfId="0" applyNumberFormat="1" applyFont="1" applyBorder="1" applyAlignment="1">
      <alignment horizontal="center" vertical="center"/>
    </xf>
    <xf numFmtId="166" fontId="13" fillId="0" borderId="20" xfId="0" applyNumberFormat="1" applyFont="1" applyBorder="1" applyAlignment="1">
      <alignment horizontal="center" vertical="center"/>
    </xf>
    <xf numFmtId="1" fontId="13" fillId="0" borderId="24" xfId="0" applyNumberFormat="1" applyFont="1" applyBorder="1" applyAlignment="1">
      <alignment horizontal="center" vertical="center"/>
    </xf>
    <xf numFmtId="1" fontId="13" fillId="0" borderId="22" xfId="0" applyNumberFormat="1" applyFont="1" applyBorder="1" applyAlignment="1">
      <alignment horizontal="center" vertical="center"/>
    </xf>
    <xf numFmtId="165" fontId="2" fillId="0" borderId="31" xfId="13" applyNumberFormat="1" applyFont="1" applyBorder="1" applyAlignment="1">
      <alignment horizontal="center" vertical="center"/>
    </xf>
    <xf numFmtId="166" fontId="13" fillId="0" borderId="22" xfId="0" applyNumberFormat="1" applyFont="1" applyBorder="1" applyAlignment="1">
      <alignment horizontal="center" vertical="center"/>
    </xf>
    <xf numFmtId="1" fontId="13" fillId="0" borderId="25" xfId="0" applyNumberFormat="1" applyFont="1" applyBorder="1" applyAlignment="1">
      <alignment horizontal="center" vertical="center"/>
    </xf>
    <xf numFmtId="1" fontId="17" fillId="0" borderId="19" xfId="0" applyNumberFormat="1" applyFont="1" applyBorder="1" applyAlignment="1">
      <alignment horizontal="center" vertical="center"/>
    </xf>
    <xf numFmtId="0" fontId="0" fillId="0" borderId="0" xfId="0"/>
    <xf numFmtId="0" fontId="0" fillId="0" borderId="0" xfId="0" applyFill="1"/>
    <xf numFmtId="0" fontId="0" fillId="0" borderId="32" xfId="0" applyBorder="1"/>
    <xf numFmtId="49" fontId="21" fillId="0" borderId="18" xfId="0" applyNumberFormat="1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49" fontId="20" fillId="2" borderId="17" xfId="16" applyNumberFormat="1" applyFont="1" applyFill="1" applyBorder="1" applyAlignment="1" applyProtection="1">
      <alignment horizontal="center" vertical="center" wrapText="1"/>
    </xf>
    <xf numFmtId="49" fontId="20" fillId="5" borderId="18" xfId="0" applyNumberFormat="1" applyFont="1" applyFill="1" applyBorder="1" applyAlignment="1">
      <alignment horizontal="center" vertical="center" wrapText="1"/>
    </xf>
    <xf numFmtId="0" fontId="21" fillId="2" borderId="18" xfId="0" applyFont="1" applyFill="1" applyBorder="1" applyAlignment="1">
      <alignment horizontal="center" vertical="center"/>
    </xf>
    <xf numFmtId="49" fontId="21" fillId="3" borderId="18" xfId="0" applyNumberFormat="1" applyFont="1" applyFill="1" applyBorder="1" applyAlignment="1">
      <alignment horizontal="center" vertical="center" wrapText="1"/>
    </xf>
    <xf numFmtId="49" fontId="21" fillId="5" borderId="18" xfId="0" applyNumberFormat="1" applyFont="1" applyFill="1" applyBorder="1" applyAlignment="1">
      <alignment horizontal="center" vertical="center" wrapText="1"/>
    </xf>
    <xf numFmtId="49" fontId="21" fillId="2" borderId="18" xfId="0" applyNumberFormat="1" applyFont="1" applyFill="1" applyBorder="1" applyAlignment="1">
      <alignment horizontal="center" vertical="center" wrapText="1"/>
    </xf>
    <xf numFmtId="49" fontId="20" fillId="5" borderId="18" xfId="16" applyNumberFormat="1" applyFont="1" applyFill="1" applyBorder="1" applyAlignment="1" applyProtection="1">
      <alignment horizontal="center" vertical="center" wrapText="1"/>
    </xf>
    <xf numFmtId="0" fontId="21" fillId="5" borderId="1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20" fillId="2" borderId="12" xfId="0" applyNumberFormat="1" applyFont="1" applyFill="1" applyBorder="1" applyAlignment="1">
      <alignment horizontal="center" vertical="center"/>
    </xf>
    <xf numFmtId="1" fontId="20" fillId="5" borderId="14" xfId="0" applyNumberFormat="1" applyFont="1" applyFill="1" applyBorder="1" applyAlignment="1">
      <alignment horizontal="center" vertical="center" wrapText="1"/>
    </xf>
    <xf numFmtId="49" fontId="20" fillId="5" borderId="14" xfId="0" applyNumberFormat="1" applyFont="1" applyFill="1" applyBorder="1" applyAlignment="1">
      <alignment horizontal="center" vertical="center" wrapText="1"/>
    </xf>
    <xf numFmtId="0" fontId="21" fillId="2" borderId="14" xfId="0" applyFont="1" applyFill="1" applyBorder="1" applyAlignment="1">
      <alignment horizontal="center" vertical="center"/>
    </xf>
    <xf numFmtId="1" fontId="20" fillId="3" borderId="14" xfId="0" applyNumberFormat="1" applyFont="1" applyFill="1" applyBorder="1" applyAlignment="1">
      <alignment horizontal="center" vertical="center" wrapText="1"/>
    </xf>
    <xf numFmtId="49" fontId="20" fillId="2" borderId="17" xfId="16" applyNumberFormat="1" applyFont="1" applyFill="1" applyBorder="1" applyAlignment="1" applyProtection="1">
      <alignment horizontal="left" vertical="center" wrapText="1"/>
    </xf>
    <xf numFmtId="49" fontId="20" fillId="5" borderId="18" xfId="0" applyNumberFormat="1" applyFont="1" applyFill="1" applyBorder="1" applyAlignment="1">
      <alignment horizontal="left" vertical="center" wrapText="1"/>
    </xf>
    <xf numFmtId="49" fontId="21" fillId="0" borderId="18" xfId="0" applyNumberFormat="1" applyFont="1" applyFill="1" applyBorder="1" applyAlignment="1">
      <alignment horizontal="left" vertical="center" wrapText="1"/>
    </xf>
    <xf numFmtId="49" fontId="20" fillId="2" borderId="18" xfId="16" applyNumberFormat="1" applyFont="1" applyFill="1" applyBorder="1" applyAlignment="1" applyProtection="1">
      <alignment horizontal="left" vertical="center" wrapText="1"/>
    </xf>
    <xf numFmtId="49" fontId="7" fillId="3" borderId="34" xfId="17" applyNumberFormat="1" applyFont="1" applyFill="1" applyBorder="1" applyAlignment="1">
      <alignment horizontal="left" vertical="center" wrapText="1"/>
    </xf>
    <xf numFmtId="49" fontId="20" fillId="5" borderId="18" xfId="16" applyNumberFormat="1" applyFont="1" applyFill="1" applyBorder="1" applyAlignment="1" applyProtection="1">
      <alignment horizontal="left" vertical="center" wrapText="1"/>
    </xf>
    <xf numFmtId="49" fontId="21" fillId="0" borderId="18" xfId="0" quotePrefix="1" applyNumberFormat="1" applyFont="1" applyFill="1" applyBorder="1" applyAlignment="1">
      <alignment horizontal="left" vertical="center" wrapText="1"/>
    </xf>
    <xf numFmtId="0" fontId="20" fillId="2" borderId="17" xfId="16" applyNumberFormat="1" applyFont="1" applyFill="1" applyBorder="1" applyAlignment="1" applyProtection="1">
      <alignment horizontal="center" vertical="center"/>
    </xf>
    <xf numFmtId="0" fontId="20" fillId="5" borderId="18" xfId="0" applyFont="1" applyFill="1" applyBorder="1" applyAlignment="1">
      <alignment horizontal="center" vertical="center"/>
    </xf>
    <xf numFmtId="0" fontId="20" fillId="5" borderId="18" xfId="16" applyNumberFormat="1" applyFont="1" applyFill="1" applyBorder="1" applyAlignment="1" applyProtection="1">
      <alignment horizontal="center" vertical="center"/>
    </xf>
    <xf numFmtId="0" fontId="20" fillId="2" borderId="18" xfId="16" applyNumberFormat="1" applyFont="1" applyFill="1" applyBorder="1" applyAlignment="1" applyProtection="1">
      <alignment horizontal="center" vertical="center"/>
    </xf>
    <xf numFmtId="49" fontId="7" fillId="2" borderId="18" xfId="16" applyNumberFormat="1" applyFont="1" applyFill="1" applyBorder="1" applyAlignment="1" applyProtection="1">
      <alignment horizontal="center" vertical="center" wrapText="1"/>
    </xf>
    <xf numFmtId="0" fontId="7" fillId="5" borderId="18" xfId="0" applyFont="1" applyFill="1" applyBorder="1" applyAlignment="1">
      <alignment horizontal="center" vertical="center"/>
    </xf>
    <xf numFmtId="0" fontId="21" fillId="2" borderId="10" xfId="0" applyFont="1" applyFill="1" applyBorder="1" applyAlignment="1">
      <alignment horizontal="center" vertical="center"/>
    </xf>
    <xf numFmtId="0" fontId="21" fillId="5" borderId="1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5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26" fillId="0" borderId="3" xfId="0" applyFont="1" applyFill="1" applyBorder="1" applyAlignment="1">
      <alignment vertical="center"/>
    </xf>
    <xf numFmtId="0" fontId="0" fillId="0" borderId="3" xfId="0" applyBorder="1"/>
    <xf numFmtId="49" fontId="21" fillId="0" borderId="35" xfId="0" applyNumberFormat="1" applyFont="1" applyFill="1" applyBorder="1" applyAlignment="1">
      <alignment horizontal="left" vertical="center" wrapText="1"/>
    </xf>
    <xf numFmtId="0" fontId="28" fillId="0" borderId="0" xfId="22"/>
    <xf numFmtId="0" fontId="28" fillId="0" borderId="21" xfId="22" applyBorder="1"/>
    <xf numFmtId="0" fontId="21" fillId="6" borderId="13" xfId="0" applyFont="1" applyFill="1" applyBorder="1" applyAlignment="1">
      <alignment horizontal="center" vertical="center"/>
    </xf>
    <xf numFmtId="49" fontId="20" fillId="6" borderId="18" xfId="16" applyNumberFormat="1" applyFont="1" applyFill="1" applyBorder="1" applyAlignment="1" applyProtection="1">
      <alignment horizontal="left" vertical="center" wrapText="1"/>
    </xf>
    <xf numFmtId="167" fontId="20" fillId="0" borderId="14" xfId="0" applyNumberFormat="1" applyFont="1" applyFill="1" applyBorder="1" applyAlignment="1">
      <alignment horizontal="center" vertical="center" wrapText="1"/>
    </xf>
    <xf numFmtId="2" fontId="20" fillId="0" borderId="14" xfId="0" applyNumberFormat="1" applyFont="1" applyFill="1" applyBorder="1" applyAlignment="1">
      <alignment horizontal="center" vertical="center" wrapText="1"/>
    </xf>
    <xf numFmtId="49" fontId="20" fillId="5" borderId="24" xfId="0" applyNumberFormat="1" applyFont="1" applyFill="1" applyBorder="1" applyAlignment="1">
      <alignment horizontal="left" vertical="center" wrapText="1"/>
    </xf>
    <xf numFmtId="0" fontId="7" fillId="3" borderId="18" xfId="17" applyFont="1" applyFill="1" applyBorder="1" applyAlignment="1">
      <alignment horizontal="center" vertical="center"/>
    </xf>
    <xf numFmtId="0" fontId="2" fillId="0" borderId="18" xfId="16" applyNumberFormat="1" applyFont="1" applyFill="1" applyBorder="1" applyAlignment="1" applyProtection="1">
      <alignment horizontal="center" vertical="center"/>
    </xf>
    <xf numFmtId="2" fontId="21" fillId="0" borderId="18" xfId="0" applyNumberFormat="1" applyFont="1" applyFill="1" applyBorder="1" applyAlignment="1">
      <alignment horizontal="left" vertical="center" wrapText="1"/>
    </xf>
    <xf numFmtId="0" fontId="21" fillId="0" borderId="18" xfId="0" applyNumberFormat="1" applyFont="1" applyFill="1" applyBorder="1" applyAlignment="1">
      <alignment horizontal="center" vertical="center" wrapText="1"/>
    </xf>
    <xf numFmtId="49" fontId="2" fillId="0" borderId="18" xfId="0" quotePrefix="1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35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/>
    </xf>
    <xf numFmtId="1" fontId="20" fillId="0" borderId="14" xfId="0" applyNumberFormat="1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/>
    </xf>
    <xf numFmtId="0" fontId="32" fillId="5" borderId="18" xfId="0" applyFont="1" applyFill="1" applyBorder="1" applyAlignment="1">
      <alignment horizontal="center" vertical="center"/>
    </xf>
    <xf numFmtId="49" fontId="32" fillId="5" borderId="18" xfId="0" applyNumberFormat="1" applyFont="1" applyFill="1" applyBorder="1" applyAlignment="1">
      <alignment horizontal="left" vertical="center" wrapText="1"/>
    </xf>
    <xf numFmtId="0" fontId="31" fillId="5" borderId="18" xfId="0" applyFont="1" applyFill="1" applyBorder="1" applyAlignment="1">
      <alignment horizontal="center" vertical="center"/>
    </xf>
    <xf numFmtId="49" fontId="32" fillId="5" borderId="14" xfId="0" applyNumberFormat="1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/>
    </xf>
    <xf numFmtId="0" fontId="31" fillId="0" borderId="18" xfId="16" applyNumberFormat="1" applyFont="1" applyFill="1" applyBorder="1" applyAlignment="1" applyProtection="1">
      <alignment horizontal="center" vertical="center"/>
    </xf>
    <xf numFmtId="49" fontId="31" fillId="0" borderId="18" xfId="0" applyNumberFormat="1" applyFont="1" applyFill="1" applyBorder="1" applyAlignment="1">
      <alignment horizontal="left" vertical="center" wrapText="1"/>
    </xf>
    <xf numFmtId="49" fontId="31" fillId="0" borderId="18" xfId="0" applyNumberFormat="1" applyFont="1" applyFill="1" applyBorder="1" applyAlignment="1">
      <alignment horizontal="center" vertical="center" wrapText="1"/>
    </xf>
    <xf numFmtId="2" fontId="32" fillId="0" borderId="14" xfId="0" applyNumberFormat="1" applyFont="1" applyFill="1" applyBorder="1" applyAlignment="1">
      <alignment horizontal="center" vertical="center" wrapText="1"/>
    </xf>
    <xf numFmtId="2" fontId="20" fillId="0" borderId="18" xfId="0" applyNumberFormat="1" applyFont="1" applyFill="1" applyBorder="1" applyAlignment="1">
      <alignment horizontal="right" vertical="center" wrapText="1"/>
    </xf>
    <xf numFmtId="4" fontId="27" fillId="0" borderId="24" xfId="22" applyNumberFormat="1" applyFont="1" applyBorder="1" applyAlignment="1">
      <alignment vertical="center"/>
    </xf>
    <xf numFmtId="49" fontId="21" fillId="0" borderId="18" xfId="0" applyNumberFormat="1" applyFont="1" applyFill="1" applyBorder="1" applyAlignment="1">
      <alignment horizontal="left" vertical="top" wrapText="1"/>
    </xf>
    <xf numFmtId="4" fontId="25" fillId="0" borderId="38" xfId="22" applyNumberFormat="1" applyFont="1" applyFill="1" applyBorder="1" applyAlignment="1">
      <alignment vertical="center"/>
    </xf>
    <xf numFmtId="1" fontId="21" fillId="0" borderId="40" xfId="22" applyNumberFormat="1" applyFont="1" applyFill="1" applyBorder="1" applyAlignment="1">
      <alignment horizontal="center" vertical="center" wrapText="1"/>
    </xf>
    <xf numFmtId="4" fontId="34" fillId="7" borderId="19" xfId="22" applyNumberFormat="1" applyFont="1" applyFill="1" applyBorder="1"/>
    <xf numFmtId="0" fontId="21" fillId="0" borderId="39" xfId="0" applyFont="1" applyFill="1" applyBorder="1" applyAlignment="1">
      <alignment horizontal="center" vertical="center"/>
    </xf>
    <xf numFmtId="2" fontId="25" fillId="0" borderId="37" xfId="22" applyNumberFormat="1" applyFont="1" applyFill="1" applyBorder="1" applyAlignment="1">
      <alignment vertical="center"/>
    </xf>
    <xf numFmtId="2" fontId="20" fillId="0" borderId="22" xfId="0" applyNumberFormat="1" applyFont="1" applyFill="1" applyBorder="1" applyAlignment="1">
      <alignment horizontal="right" vertical="center"/>
    </xf>
    <xf numFmtId="0" fontId="0" fillId="0" borderId="0" xfId="22" applyFont="1"/>
    <xf numFmtId="4" fontId="28" fillId="0" borderId="0" xfId="22" applyNumberFormat="1" applyAlignment="1"/>
    <xf numFmtId="0" fontId="21" fillId="0" borderId="41" xfId="22" applyFont="1" applyFill="1" applyBorder="1" applyAlignment="1">
      <alignment horizontal="center" vertical="center"/>
    </xf>
    <xf numFmtId="0" fontId="21" fillId="0" borderId="42" xfId="22" applyFont="1" applyFill="1" applyBorder="1" applyAlignment="1">
      <alignment horizontal="left" vertical="center" wrapText="1"/>
    </xf>
    <xf numFmtId="1" fontId="21" fillId="0" borderId="17" xfId="22" applyNumberFormat="1" applyFont="1" applyFill="1" applyBorder="1" applyAlignment="1">
      <alignment horizontal="center" vertical="center" wrapText="1"/>
    </xf>
    <xf numFmtId="4" fontId="20" fillId="0" borderId="17" xfId="22" applyNumberFormat="1" applyFont="1" applyFill="1" applyBorder="1" applyAlignment="1">
      <alignment horizontal="right" vertical="center" wrapText="1"/>
    </xf>
    <xf numFmtId="4" fontId="35" fillId="0" borderId="17" xfId="22" applyNumberFormat="1" applyFont="1" applyBorder="1" applyAlignment="1">
      <alignment horizontal="right" vertical="center" wrapText="1"/>
    </xf>
    <xf numFmtId="4" fontId="25" fillId="0" borderId="12" xfId="22" applyNumberFormat="1" applyFont="1" applyBorder="1" applyAlignment="1">
      <alignment horizontal="right" vertical="center" wrapText="1"/>
    </xf>
    <xf numFmtId="0" fontId="34" fillId="0" borderId="0" xfId="22" applyFont="1" applyAlignment="1">
      <alignment horizontal="center"/>
    </xf>
    <xf numFmtId="4" fontId="34" fillId="0" borderId="0" xfId="22" applyNumberFormat="1" applyFont="1"/>
    <xf numFmtId="0" fontId="19" fillId="0" borderId="7" xfId="0" applyFont="1" applyFill="1" applyBorder="1" applyAlignment="1">
      <alignment horizontal="center" wrapText="1"/>
    </xf>
    <xf numFmtId="0" fontId="19" fillId="0" borderId="8" xfId="0" applyFont="1" applyFill="1" applyBorder="1" applyAlignment="1">
      <alignment horizontal="center" wrapText="1"/>
    </xf>
    <xf numFmtId="0" fontId="19" fillId="0" borderId="9" xfId="0" applyFont="1" applyFill="1" applyBorder="1" applyAlignment="1">
      <alignment horizont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20" fillId="0" borderId="33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1" fontId="20" fillId="0" borderId="4" xfId="0" applyNumberFormat="1" applyFont="1" applyFill="1" applyBorder="1" applyAlignment="1">
      <alignment horizontal="center" vertical="center" wrapText="1"/>
    </xf>
    <xf numFmtId="1" fontId="20" fillId="0" borderId="6" xfId="0" applyNumberFormat="1" applyFont="1" applyFill="1" applyBorder="1" applyAlignment="1">
      <alignment horizontal="center" vertical="center" wrapText="1"/>
    </xf>
    <xf numFmtId="1" fontId="20" fillId="0" borderId="29" xfId="0" applyNumberFormat="1" applyFont="1" applyFill="1" applyBorder="1" applyAlignment="1">
      <alignment horizontal="center" vertical="center" wrapText="1"/>
    </xf>
    <xf numFmtId="1" fontId="20" fillId="0" borderId="28" xfId="0" applyNumberFormat="1" applyFont="1" applyFill="1" applyBorder="1" applyAlignment="1">
      <alignment horizontal="center" vertical="center" wrapText="1"/>
    </xf>
    <xf numFmtId="0" fontId="34" fillId="7" borderId="7" xfId="22" applyFont="1" applyFill="1" applyBorder="1" applyAlignment="1"/>
    <xf numFmtId="0" fontId="0" fillId="7" borderId="8" xfId="0" applyFill="1" applyBorder="1" applyAlignment="1"/>
    <xf numFmtId="0" fontId="0" fillId="7" borderId="9" xfId="0" applyFill="1" applyBorder="1" applyAlignment="1"/>
    <xf numFmtId="0" fontId="19" fillId="0" borderId="7" xfId="22" applyFont="1" applyFill="1" applyBorder="1" applyAlignment="1">
      <alignment horizontal="center" wrapText="1"/>
    </xf>
    <xf numFmtId="0" fontId="19" fillId="0" borderId="8" xfId="22" applyFont="1" applyFill="1" applyBorder="1" applyAlignment="1">
      <alignment horizontal="center" wrapText="1"/>
    </xf>
    <xf numFmtId="0" fontId="19" fillId="0" borderId="9" xfId="22" applyFont="1" applyFill="1" applyBorder="1" applyAlignment="1">
      <alignment horizontal="center" wrapText="1"/>
    </xf>
    <xf numFmtId="0" fontId="26" fillId="4" borderId="3" xfId="22" applyFont="1" applyFill="1" applyBorder="1" applyAlignment="1">
      <alignment horizontal="center" vertical="center" wrapText="1"/>
    </xf>
    <xf numFmtId="0" fontId="26" fillId="4" borderId="0" xfId="22" applyFont="1" applyFill="1" applyBorder="1" applyAlignment="1">
      <alignment horizontal="center" vertical="center" wrapText="1"/>
    </xf>
    <xf numFmtId="0" fontId="26" fillId="4" borderId="32" xfId="22" applyFont="1" applyFill="1" applyBorder="1" applyAlignment="1">
      <alignment horizontal="center" vertical="center" wrapText="1"/>
    </xf>
    <xf numFmtId="0" fontId="21" fillId="0" borderId="33" xfId="22" applyFont="1" applyFill="1" applyBorder="1" applyAlignment="1">
      <alignment horizontal="center" vertical="center"/>
    </xf>
    <xf numFmtId="0" fontId="21" fillId="0" borderId="5" xfId="22" applyFont="1" applyFill="1" applyBorder="1" applyAlignment="1">
      <alignment horizontal="center" vertical="center"/>
    </xf>
    <xf numFmtId="0" fontId="21" fillId="0" borderId="4" xfId="22" applyFont="1" applyFill="1" applyBorder="1" applyAlignment="1">
      <alignment horizontal="center" vertical="center"/>
    </xf>
    <xf numFmtId="0" fontId="21" fillId="0" borderId="6" xfId="22" applyFont="1" applyFill="1" applyBorder="1" applyAlignment="1">
      <alignment horizontal="center" vertical="center"/>
    </xf>
    <xf numFmtId="0" fontId="18" fillId="0" borderId="11" xfId="22" applyFont="1" applyBorder="1" applyAlignment="1">
      <alignment horizontal="center" vertical="center"/>
    </xf>
    <xf numFmtId="0" fontId="18" fillId="0" borderId="23" xfId="22" applyFont="1" applyBorder="1" applyAlignment="1">
      <alignment horizontal="center" vertical="center"/>
    </xf>
    <xf numFmtId="0" fontId="0" fillId="0" borderId="36" xfId="22" applyFont="1" applyBorder="1" applyAlignment="1">
      <alignment horizontal="center" vertical="center" wrapText="1"/>
    </xf>
    <xf numFmtId="0" fontId="28" fillId="0" borderId="43" xfId="22" applyBorder="1" applyAlignment="1">
      <alignment horizontal="center" vertical="center" wrapText="1"/>
    </xf>
    <xf numFmtId="0" fontId="0" fillId="0" borderId="2" xfId="22" applyFont="1" applyBorder="1" applyAlignment="1">
      <alignment horizontal="center" vertical="center" wrapText="1"/>
    </xf>
    <xf numFmtId="0" fontId="28" fillId="0" borderId="32" xfId="22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</cellXfs>
  <cellStyles count="23">
    <cellStyle name="Dziesiętny 2" xfId="1" xr:uid="{00000000-0005-0000-0000-000000000000}"/>
    <cellStyle name="Dziesiętny 2 2" xfId="19" xr:uid="{00000000-0005-0000-0000-000001000000}"/>
    <cellStyle name="Dziesiętny 3" xfId="2" xr:uid="{00000000-0005-0000-0000-000002000000}"/>
    <cellStyle name="Dziesiętny 3 2" xfId="3" xr:uid="{00000000-0005-0000-0000-000003000000}"/>
    <cellStyle name="Dziesiętny 3 2 2" xfId="21" xr:uid="{00000000-0005-0000-0000-000004000000}"/>
    <cellStyle name="Dziesiętny 3 3" xfId="20" xr:uid="{00000000-0005-0000-0000-000005000000}"/>
    <cellStyle name="Dziesiętny 4" xfId="18" xr:uid="{00000000-0005-0000-0000-000006000000}"/>
    <cellStyle name="None" xfId="4" xr:uid="{00000000-0005-0000-0000-000007000000}"/>
    <cellStyle name="Normalny" xfId="0" builtinId="0"/>
    <cellStyle name="Normalny 2" xfId="5" xr:uid="{00000000-0005-0000-0000-000009000000}"/>
    <cellStyle name="Normalny 2 2" xfId="6" xr:uid="{00000000-0005-0000-0000-00000A000000}"/>
    <cellStyle name="Normalny 2 2 2" xfId="7" xr:uid="{00000000-0005-0000-0000-00000B000000}"/>
    <cellStyle name="Normalny 2 3" xfId="22" xr:uid="{00000000-0005-0000-0000-00000C000000}"/>
    <cellStyle name="Normalny 2_Wykaz_A2_D1" xfId="8" xr:uid="{00000000-0005-0000-0000-00000D000000}"/>
    <cellStyle name="Normalny 4" xfId="9" xr:uid="{00000000-0005-0000-0000-00000E000000}"/>
    <cellStyle name="Normalny 4 2" xfId="10" xr:uid="{00000000-0005-0000-0000-00000F000000}"/>
    <cellStyle name="Normalny 4 2 2" xfId="11" xr:uid="{00000000-0005-0000-0000-000010000000}"/>
    <cellStyle name="Normalny 4 3" xfId="12" xr:uid="{00000000-0005-0000-0000-000011000000}"/>
    <cellStyle name="Normalny_slepy-kosztorys" xfId="17" xr:uid="{00000000-0005-0000-0000-000012000000}"/>
    <cellStyle name="Normalny_TER02" xfId="16" xr:uid="{00000000-0005-0000-0000-000013000000}"/>
    <cellStyle name="Normalny_wykazy 5.4_x" xfId="13" xr:uid="{00000000-0005-0000-0000-000014000000}"/>
    <cellStyle name="Normalny_wykazy_5.5.1" xfId="14" xr:uid="{00000000-0005-0000-0000-000015000000}"/>
    <cellStyle name="Opis" xfId="15" xr:uid="{00000000-0005-0000-0000-000016000000}"/>
  </cellStyles>
  <dxfs count="0"/>
  <tableStyles count="0" defaultTableStyle="TableStyleMedium9" defaultPivotStyle="PivotStyleLight16"/>
  <colors>
    <mruColors>
      <color rgb="FF30F047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Relationship Id="rId4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2:I81"/>
  <sheetViews>
    <sheetView view="pageBreakPreview" topLeftCell="A55" zoomScaleNormal="100" zoomScaleSheetLayoutView="100" workbookViewId="0">
      <selection activeCell="D16" sqref="B3:F65"/>
    </sheetView>
  </sheetViews>
  <sheetFormatPr defaultRowHeight="14"/>
  <cols>
    <col min="2" max="2" width="5.08203125" style="45" customWidth="1"/>
    <col min="3" max="3" width="11.08203125" style="45" customWidth="1"/>
    <col min="4" max="4" width="55.4140625" style="45" customWidth="1"/>
    <col min="5" max="6" width="9" style="45"/>
  </cols>
  <sheetData>
    <row r="2" spans="1:8" ht="14.5" thickBot="1">
      <c r="B2" s="36"/>
      <c r="C2" s="36"/>
      <c r="D2" s="36"/>
      <c r="E2" s="36"/>
      <c r="F2" s="36"/>
    </row>
    <row r="3" spans="1:8" ht="20.5" thickBot="1">
      <c r="A3" s="34"/>
      <c r="B3" s="121" t="s">
        <v>110</v>
      </c>
      <c r="C3" s="122"/>
      <c r="D3" s="122"/>
      <c r="E3" s="122"/>
      <c r="F3" s="123"/>
    </row>
    <row r="4" spans="1:8" ht="44.25" customHeight="1" thickBot="1">
      <c r="A4" s="34"/>
      <c r="B4" s="124" t="s">
        <v>127</v>
      </c>
      <c r="C4" s="125"/>
      <c r="D4" s="125"/>
      <c r="E4" s="125"/>
      <c r="F4" s="125"/>
      <c r="G4" s="73"/>
      <c r="H4" s="72"/>
    </row>
    <row r="5" spans="1:8">
      <c r="B5" s="126" t="s">
        <v>60</v>
      </c>
      <c r="C5" s="128" t="s">
        <v>61</v>
      </c>
      <c r="D5" s="130" t="s">
        <v>62</v>
      </c>
      <c r="E5" s="132" t="s">
        <v>63</v>
      </c>
      <c r="F5" s="134" t="s">
        <v>64</v>
      </c>
      <c r="G5" s="74"/>
    </row>
    <row r="6" spans="1:8" ht="30.75" customHeight="1" thickBot="1">
      <c r="B6" s="127"/>
      <c r="C6" s="129"/>
      <c r="D6" s="131"/>
      <c r="E6" s="133"/>
      <c r="F6" s="135"/>
    </row>
    <row r="7" spans="1:8">
      <c r="B7" s="64"/>
      <c r="C7" s="58" t="s">
        <v>65</v>
      </c>
      <c r="D7" s="51" t="s">
        <v>66</v>
      </c>
      <c r="E7" s="37"/>
      <c r="F7" s="46"/>
    </row>
    <row r="8" spans="1:8">
      <c r="B8" s="78"/>
      <c r="C8" s="59" t="s">
        <v>67</v>
      </c>
      <c r="D8" s="52" t="s">
        <v>88</v>
      </c>
      <c r="E8" s="38"/>
      <c r="F8" s="47"/>
    </row>
    <row r="9" spans="1:8" ht="62.5">
      <c r="A9" s="33"/>
      <c r="B9" s="66">
        <v>1</v>
      </c>
      <c r="C9" s="84"/>
      <c r="D9" s="53" t="s">
        <v>115</v>
      </c>
      <c r="E9" s="35" t="s">
        <v>101</v>
      </c>
      <c r="F9" s="80">
        <f>0.33</f>
        <v>0.33</v>
      </c>
      <c r="H9" s="33"/>
    </row>
    <row r="10" spans="1:8" s="32" customFormat="1">
      <c r="A10" s="33"/>
      <c r="B10" s="65"/>
      <c r="C10" s="60" t="s">
        <v>90</v>
      </c>
      <c r="D10" s="52" t="s">
        <v>103</v>
      </c>
      <c r="E10" s="38"/>
      <c r="F10" s="48"/>
      <c r="H10" s="33"/>
    </row>
    <row r="11" spans="1:8" s="32" customFormat="1" ht="25">
      <c r="A11" s="33"/>
      <c r="B11" s="66">
        <f>B9+1</f>
        <v>2</v>
      </c>
      <c r="C11" s="84"/>
      <c r="D11" s="53" t="s">
        <v>128</v>
      </c>
      <c r="E11" s="35" t="s">
        <v>84</v>
      </c>
      <c r="F11" s="81">
        <f>(32+15+15)*0.15</f>
        <v>9.2999999999999989</v>
      </c>
      <c r="H11" s="33"/>
    </row>
    <row r="12" spans="1:8">
      <c r="B12" s="65"/>
      <c r="C12" s="60" t="s">
        <v>109</v>
      </c>
      <c r="D12" s="52" t="s">
        <v>104</v>
      </c>
      <c r="E12" s="38"/>
      <c r="F12" s="48"/>
      <c r="H12" s="33"/>
    </row>
    <row r="13" spans="1:8" s="32" customFormat="1" ht="50">
      <c r="B13" s="66">
        <f>B11+1</f>
        <v>3</v>
      </c>
      <c r="C13" s="88"/>
      <c r="D13" s="53" t="s">
        <v>135</v>
      </c>
      <c r="E13" s="35" t="s">
        <v>111</v>
      </c>
      <c r="F13" s="81">
        <f>(207+72+126+43+48+45+25+98+40+35.4+35+23+24)</f>
        <v>821.4</v>
      </c>
      <c r="H13" s="33"/>
    </row>
    <row r="14" spans="1:8" s="32" customFormat="1" ht="50">
      <c r="B14" s="66">
        <f>B13+1</f>
        <v>4</v>
      </c>
      <c r="C14" s="88"/>
      <c r="D14" s="75" t="s">
        <v>129</v>
      </c>
      <c r="E14" s="35" t="s">
        <v>50</v>
      </c>
      <c r="F14" s="81">
        <f>(70+12.2+23.5+17+7+25.5+50+17+19+15+10.4+11+42+15+2.5)</f>
        <v>337.09999999999997</v>
      </c>
      <c r="H14" s="33"/>
    </row>
    <row r="15" spans="1:8" s="32" customFormat="1" ht="25">
      <c r="B15" s="66">
        <f t="shared" ref="B15:B21" si="0">B14+1</f>
        <v>5</v>
      </c>
      <c r="C15" s="88"/>
      <c r="D15" s="75" t="s">
        <v>130</v>
      </c>
      <c r="E15" s="35" t="s">
        <v>50</v>
      </c>
      <c r="F15" s="81">
        <f>(65+13+47+24+17.5+38+55+16+140)</f>
        <v>415.5</v>
      </c>
      <c r="H15" s="33"/>
    </row>
    <row r="16" spans="1:8" s="32" customFormat="1" ht="25">
      <c r="B16" s="66">
        <f>B15+1</f>
        <v>6</v>
      </c>
      <c r="C16" s="88"/>
      <c r="D16" s="53" t="s">
        <v>132</v>
      </c>
      <c r="E16" s="35" t="s">
        <v>111</v>
      </c>
      <c r="F16" s="81">
        <f xml:space="preserve"> (34+176)</f>
        <v>210</v>
      </c>
      <c r="H16" s="33"/>
    </row>
    <row r="17" spans="2:8" s="32" customFormat="1" ht="25">
      <c r="B17" s="66">
        <f t="shared" si="0"/>
        <v>7</v>
      </c>
      <c r="C17" s="89"/>
      <c r="D17" s="53" t="s">
        <v>131</v>
      </c>
      <c r="E17" s="35" t="s">
        <v>111</v>
      </c>
      <c r="F17" s="81">
        <f>(17.5+28)</f>
        <v>45.5</v>
      </c>
      <c r="H17" s="33"/>
    </row>
    <row r="18" spans="2:8" s="32" customFormat="1" ht="14.5">
      <c r="B18" s="66">
        <f t="shared" si="0"/>
        <v>8</v>
      </c>
      <c r="C18" s="89"/>
      <c r="D18" s="53" t="s">
        <v>133</v>
      </c>
      <c r="E18" s="35" t="s">
        <v>111</v>
      </c>
      <c r="F18" s="81">
        <v>821.4</v>
      </c>
      <c r="H18" s="33"/>
    </row>
    <row r="19" spans="2:8" s="32" customFormat="1" ht="14.5">
      <c r="B19" s="66">
        <f t="shared" si="0"/>
        <v>9</v>
      </c>
      <c r="C19" s="89"/>
      <c r="D19" s="53" t="s">
        <v>134</v>
      </c>
      <c r="E19" s="35" t="s">
        <v>111</v>
      </c>
      <c r="F19" s="81">
        <f>210+45.5</f>
        <v>255.5</v>
      </c>
      <c r="H19" s="33"/>
    </row>
    <row r="20" spans="2:8" s="32" customFormat="1">
      <c r="B20" s="66">
        <f t="shared" si="0"/>
        <v>10</v>
      </c>
      <c r="C20" s="89"/>
      <c r="D20" s="53" t="s">
        <v>117</v>
      </c>
      <c r="E20" s="35" t="s">
        <v>102</v>
      </c>
      <c r="F20" s="81">
        <v>1</v>
      </c>
      <c r="H20" s="33"/>
    </row>
    <row r="21" spans="2:8" s="32" customFormat="1">
      <c r="B21" s="66">
        <f t="shared" si="0"/>
        <v>11</v>
      </c>
      <c r="C21" s="89"/>
      <c r="D21" s="53" t="s">
        <v>118</v>
      </c>
      <c r="E21" s="35" t="s">
        <v>102</v>
      </c>
      <c r="F21" s="81">
        <v>1</v>
      </c>
      <c r="H21" s="33"/>
    </row>
    <row r="22" spans="2:8" s="32" customFormat="1" ht="37.5">
      <c r="B22" s="66">
        <f>B21+1</f>
        <v>12</v>
      </c>
      <c r="C22" s="89"/>
      <c r="D22" s="85" t="s">
        <v>153</v>
      </c>
      <c r="E22" s="35" t="s">
        <v>84</v>
      </c>
      <c r="F22" s="81">
        <f>(821.4*0.07+337.1*0.08*0.3+415.5*0.15*0.3+415.5*0.08+210*0.05+45.5*0.08+821.4*0.15+255.5*0.15)*1.25</f>
        <v>366.501125</v>
      </c>
      <c r="H22" s="33"/>
    </row>
    <row r="23" spans="2:8" s="32" customFormat="1" ht="25">
      <c r="B23" s="66">
        <f t="shared" ref="B23" si="1">B22+1</f>
        <v>13</v>
      </c>
      <c r="C23" s="89"/>
      <c r="D23" s="85" t="s">
        <v>116</v>
      </c>
      <c r="E23" s="35" t="s">
        <v>84</v>
      </c>
      <c r="F23" s="81">
        <f>(821.4*0.07+337.1*0.08*0.3+415.5*0.15*0.3+415.5*0.08+210*0.05+45.5*0.08+821.4*0.15+255.5*0.15)*1.25</f>
        <v>366.501125</v>
      </c>
      <c r="H23" s="33"/>
    </row>
    <row r="24" spans="2:8">
      <c r="B24" s="68"/>
      <c r="C24" s="83" t="s">
        <v>82</v>
      </c>
      <c r="D24" s="55" t="s">
        <v>69</v>
      </c>
      <c r="E24" s="40"/>
      <c r="F24" s="50"/>
      <c r="H24" s="33"/>
    </row>
    <row r="25" spans="2:8" s="32" customFormat="1">
      <c r="B25" s="65"/>
      <c r="C25" s="60" t="s">
        <v>72</v>
      </c>
      <c r="D25" s="82" t="s">
        <v>73</v>
      </c>
      <c r="E25" s="41"/>
      <c r="F25" s="48"/>
      <c r="H25" s="33"/>
    </row>
    <row r="26" spans="2:8" s="32" customFormat="1" ht="37.5">
      <c r="B26" s="66">
        <f>B23+1</f>
        <v>14</v>
      </c>
      <c r="C26" s="84"/>
      <c r="D26" s="53" t="s">
        <v>136</v>
      </c>
      <c r="E26" s="35" t="s">
        <v>68</v>
      </c>
      <c r="F26" s="81">
        <f>(285+99+32+34+30+20+197)</f>
        <v>697</v>
      </c>
      <c r="H26" s="33"/>
    </row>
    <row r="27" spans="2:8" s="32" customFormat="1" ht="37.5">
      <c r="B27" s="66">
        <f>B26+1</f>
        <v>15</v>
      </c>
      <c r="C27" s="84"/>
      <c r="D27" s="53" t="s">
        <v>137</v>
      </c>
      <c r="E27" s="35" t="s">
        <v>68</v>
      </c>
      <c r="F27" s="81">
        <v>173</v>
      </c>
      <c r="H27" s="33"/>
    </row>
    <row r="28" spans="2:8" s="32" customFormat="1" ht="37.5">
      <c r="B28" s="66">
        <f>B27+1</f>
        <v>16</v>
      </c>
      <c r="C28" s="84"/>
      <c r="D28" s="53" t="s">
        <v>138</v>
      </c>
      <c r="E28" s="35" t="s">
        <v>68</v>
      </c>
      <c r="F28" s="81">
        <f>(36+36+36+36+17.5+26.9)</f>
        <v>188.4</v>
      </c>
      <c r="H28" s="33"/>
    </row>
    <row r="29" spans="2:8" s="32" customFormat="1">
      <c r="B29" s="65"/>
      <c r="C29" s="60" t="s">
        <v>112</v>
      </c>
      <c r="D29" s="52" t="s">
        <v>113</v>
      </c>
      <c r="E29" s="41"/>
      <c r="F29" s="48"/>
      <c r="H29" s="33"/>
    </row>
    <row r="30" spans="2:8" s="32" customFormat="1" ht="25">
      <c r="B30" s="66">
        <f>B28+1</f>
        <v>17</v>
      </c>
      <c r="C30" s="84"/>
      <c r="D30" s="53" t="s">
        <v>139</v>
      </c>
      <c r="E30" s="35" t="s">
        <v>68</v>
      </c>
      <c r="F30" s="81">
        <f>173+188.4</f>
        <v>361.4</v>
      </c>
      <c r="H30" s="33"/>
    </row>
    <row r="31" spans="2:8">
      <c r="B31" s="65"/>
      <c r="C31" s="60" t="s">
        <v>83</v>
      </c>
      <c r="D31" s="52" t="s">
        <v>105</v>
      </c>
      <c r="E31" s="41"/>
      <c r="F31" s="48"/>
      <c r="H31" s="33"/>
    </row>
    <row r="32" spans="2:8" ht="25">
      <c r="B32" s="66">
        <f>B30+1</f>
        <v>18</v>
      </c>
      <c r="C32" s="90"/>
      <c r="D32" s="53" t="s">
        <v>119</v>
      </c>
      <c r="E32" s="35" t="s">
        <v>68</v>
      </c>
      <c r="F32" s="81">
        <f>F26</f>
        <v>697</v>
      </c>
      <c r="H32" s="33"/>
    </row>
    <row r="33" spans="2:8" s="32" customFormat="1" ht="37.5">
      <c r="B33" s="66">
        <f>B32+1</f>
        <v>19</v>
      </c>
      <c r="C33" s="90"/>
      <c r="D33" s="53" t="s">
        <v>140</v>
      </c>
      <c r="E33" s="35" t="s">
        <v>68</v>
      </c>
      <c r="F33" s="81">
        <f>F28+F27</f>
        <v>361.4</v>
      </c>
      <c r="H33" s="33"/>
    </row>
    <row r="34" spans="2:8">
      <c r="B34" s="67"/>
      <c r="C34" s="61" t="s">
        <v>70</v>
      </c>
      <c r="D34" s="54" t="s">
        <v>71</v>
      </c>
      <c r="E34" s="42"/>
      <c r="F34" s="49"/>
      <c r="H34" s="33"/>
    </row>
    <row r="35" spans="2:8" s="32" customFormat="1">
      <c r="B35" s="65"/>
      <c r="C35" s="60" t="s">
        <v>100</v>
      </c>
      <c r="D35" s="56" t="s">
        <v>106</v>
      </c>
      <c r="E35" s="43"/>
      <c r="F35" s="48"/>
      <c r="H35" s="33"/>
    </row>
    <row r="36" spans="2:8" s="32" customFormat="1" ht="25">
      <c r="B36" s="66">
        <f>B33+1</f>
        <v>20</v>
      </c>
      <c r="C36" s="84"/>
      <c r="D36" s="57" t="s">
        <v>141</v>
      </c>
      <c r="E36" s="35" t="s">
        <v>68</v>
      </c>
      <c r="F36" s="81">
        <f>330*0.1</f>
        <v>33</v>
      </c>
      <c r="H36" s="33"/>
    </row>
    <row r="37" spans="2:8" s="32" customFormat="1">
      <c r="B37" s="65"/>
      <c r="C37" s="60" t="s">
        <v>77</v>
      </c>
      <c r="D37" s="79" t="s">
        <v>89</v>
      </c>
      <c r="E37" s="43"/>
      <c r="F37" s="48"/>
      <c r="H37" s="33"/>
    </row>
    <row r="38" spans="2:8" s="32" customFormat="1" ht="37.5">
      <c r="B38" s="66">
        <f>B36+1</f>
        <v>21</v>
      </c>
      <c r="C38" s="84"/>
      <c r="D38" s="57" t="s">
        <v>142</v>
      </c>
      <c r="E38" s="35" t="s">
        <v>68</v>
      </c>
      <c r="F38" s="81">
        <f>F27+F28</f>
        <v>361.4</v>
      </c>
      <c r="H38" s="33"/>
    </row>
    <row r="39" spans="2:8" s="32" customFormat="1" ht="37.5">
      <c r="B39" s="66">
        <f>B38+1</f>
        <v>22</v>
      </c>
      <c r="C39" s="84"/>
      <c r="D39" s="57" t="s">
        <v>143</v>
      </c>
      <c r="E39" s="35" t="s">
        <v>68</v>
      </c>
      <c r="F39" s="81">
        <v>28</v>
      </c>
      <c r="H39" s="33"/>
    </row>
    <row r="40" spans="2:8" s="32" customFormat="1">
      <c r="B40" s="67"/>
      <c r="C40" s="61" t="s">
        <v>92</v>
      </c>
      <c r="D40" s="54" t="s">
        <v>93</v>
      </c>
      <c r="E40" s="42"/>
      <c r="F40" s="49"/>
      <c r="H40" s="33"/>
    </row>
    <row r="41" spans="2:8" s="32" customFormat="1">
      <c r="B41" s="65"/>
      <c r="C41" s="60" t="s">
        <v>94</v>
      </c>
      <c r="D41" s="56" t="s">
        <v>107</v>
      </c>
      <c r="E41" s="43"/>
      <c r="F41" s="48"/>
      <c r="H41" s="33"/>
    </row>
    <row r="42" spans="2:8" s="32" customFormat="1" ht="25">
      <c r="B42" s="66">
        <f>B39+1</f>
        <v>23</v>
      </c>
      <c r="C42" s="84"/>
      <c r="D42" s="57" t="s">
        <v>144</v>
      </c>
      <c r="E42" s="35" t="s">
        <v>68</v>
      </c>
      <c r="F42" s="81">
        <v>112.22</v>
      </c>
      <c r="H42" s="33"/>
    </row>
    <row r="43" spans="2:8" s="32" customFormat="1">
      <c r="B43" s="67"/>
      <c r="C43" s="61" t="s">
        <v>95</v>
      </c>
      <c r="D43" s="54" t="s">
        <v>96</v>
      </c>
      <c r="E43" s="42"/>
      <c r="F43" s="49"/>
      <c r="H43" s="33"/>
    </row>
    <row r="44" spans="2:8" s="32" customFormat="1">
      <c r="B44" s="65"/>
      <c r="C44" s="60" t="s">
        <v>120</v>
      </c>
      <c r="D44" s="56" t="s">
        <v>121</v>
      </c>
      <c r="E44" s="43"/>
      <c r="F44" s="48"/>
      <c r="H44" s="33"/>
    </row>
    <row r="45" spans="2:8" s="32" customFormat="1" ht="25">
      <c r="B45" s="66">
        <f>B42+1</f>
        <v>24</v>
      </c>
      <c r="C45" s="84"/>
      <c r="D45" s="87" t="s">
        <v>145</v>
      </c>
      <c r="E45" s="35" t="s">
        <v>68</v>
      </c>
      <c r="F45" s="81">
        <f>3.7+0.76</f>
        <v>4.46</v>
      </c>
      <c r="H45" s="33"/>
    </row>
    <row r="46" spans="2:8" s="32" customFormat="1" ht="25">
      <c r="B46" s="66">
        <f>B45+1</f>
        <v>25</v>
      </c>
      <c r="C46" s="84"/>
      <c r="D46" s="87" t="s">
        <v>156</v>
      </c>
      <c r="E46" s="35" t="s">
        <v>68</v>
      </c>
      <c r="F46" s="81">
        <v>4.32</v>
      </c>
      <c r="H46" s="33"/>
    </row>
    <row r="47" spans="2:8" s="32" customFormat="1" ht="25">
      <c r="B47" s="66">
        <f t="shared" ref="B47:B48" si="2">B46+1</f>
        <v>26</v>
      </c>
      <c r="C47" s="84"/>
      <c r="D47" s="87" t="s">
        <v>154</v>
      </c>
      <c r="E47" s="35" t="s">
        <v>68</v>
      </c>
      <c r="F47" s="81">
        <v>6.48</v>
      </c>
      <c r="H47" s="33"/>
    </row>
    <row r="48" spans="2:8" s="32" customFormat="1" ht="25">
      <c r="B48" s="66">
        <f t="shared" si="2"/>
        <v>27</v>
      </c>
      <c r="C48" s="84"/>
      <c r="D48" s="87" t="s">
        <v>157</v>
      </c>
      <c r="E48" s="35" t="s">
        <v>68</v>
      </c>
      <c r="F48" s="81">
        <v>1.8</v>
      </c>
      <c r="H48" s="33"/>
    </row>
    <row r="49" spans="2:8" s="32" customFormat="1" ht="25">
      <c r="B49" s="66">
        <f>B48+1</f>
        <v>28</v>
      </c>
      <c r="C49" s="84"/>
      <c r="D49" s="87" t="s">
        <v>155</v>
      </c>
      <c r="E49" s="35" t="s">
        <v>68</v>
      </c>
      <c r="F49" s="81">
        <v>20</v>
      </c>
      <c r="H49" s="33"/>
    </row>
    <row r="50" spans="2:8" s="32" customFormat="1">
      <c r="B50" s="65"/>
      <c r="C50" s="60" t="s">
        <v>97</v>
      </c>
      <c r="D50" s="56" t="s">
        <v>98</v>
      </c>
      <c r="E50" s="43"/>
      <c r="F50" s="48"/>
      <c r="H50" s="33"/>
    </row>
    <row r="51" spans="2:8" s="32" customFormat="1" ht="25">
      <c r="B51" s="66">
        <f>B49+1</f>
        <v>29</v>
      </c>
      <c r="C51" s="84"/>
      <c r="D51" s="87" t="s">
        <v>146</v>
      </c>
      <c r="E51" s="35" t="s">
        <v>102</v>
      </c>
      <c r="F51" s="81">
        <v>1</v>
      </c>
      <c r="H51" s="33"/>
    </row>
    <row r="52" spans="2:8" s="32" customFormat="1" ht="25">
      <c r="B52" s="66">
        <f>B51+1</f>
        <v>30</v>
      </c>
      <c r="C52" s="84"/>
      <c r="D52" s="87" t="s">
        <v>122</v>
      </c>
      <c r="E52" s="35" t="s">
        <v>102</v>
      </c>
      <c r="F52" s="81">
        <v>3</v>
      </c>
      <c r="H52" s="33"/>
    </row>
    <row r="53" spans="2:8" s="32" customFormat="1" ht="37.5">
      <c r="B53" s="66">
        <f>B52+1</f>
        <v>31</v>
      </c>
      <c r="C53" s="84"/>
      <c r="D53" s="87" t="s">
        <v>123</v>
      </c>
      <c r="E53" s="35" t="s">
        <v>68</v>
      </c>
      <c r="F53" s="81">
        <v>0.22</v>
      </c>
      <c r="H53" s="33"/>
    </row>
    <row r="54" spans="2:8">
      <c r="B54" s="69"/>
      <c r="C54" s="62" t="s">
        <v>78</v>
      </c>
      <c r="D54" s="54" t="s">
        <v>85</v>
      </c>
      <c r="E54" s="39"/>
      <c r="F54" s="49"/>
      <c r="H54" s="33"/>
    </row>
    <row r="55" spans="2:8">
      <c r="B55" s="70"/>
      <c r="C55" s="63" t="s">
        <v>79</v>
      </c>
      <c r="D55" s="52" t="s">
        <v>114</v>
      </c>
      <c r="E55" s="44"/>
      <c r="F55" s="48"/>
      <c r="H55" s="33"/>
    </row>
    <row r="56" spans="2:8" s="32" customFormat="1" ht="25">
      <c r="B56" s="71">
        <f>B53+1</f>
        <v>32</v>
      </c>
      <c r="C56" s="84"/>
      <c r="D56" s="53" t="s">
        <v>147</v>
      </c>
      <c r="E56" s="35" t="s">
        <v>50</v>
      </c>
      <c r="F56" s="81">
        <f>(5+15+15+15+15+8+11)</f>
        <v>84</v>
      </c>
      <c r="H56" s="33"/>
    </row>
    <row r="57" spans="2:8" ht="37.5">
      <c r="B57" s="71">
        <f>B56+1</f>
        <v>33</v>
      </c>
      <c r="C57" s="84"/>
      <c r="D57" s="53" t="s">
        <v>148</v>
      </c>
      <c r="E57" s="35" t="s">
        <v>50</v>
      </c>
      <c r="F57" s="81">
        <f>(62.3+37+26+45.8+14.5+15.5+13.7+9+64)</f>
        <v>287.79999999999995</v>
      </c>
      <c r="H57" s="33"/>
    </row>
    <row r="58" spans="2:8" s="32" customFormat="1" ht="37.5">
      <c r="B58" s="71">
        <f t="shared" ref="B58" si="3">B57+1</f>
        <v>34</v>
      </c>
      <c r="C58" s="84"/>
      <c r="D58" s="53" t="s">
        <v>149</v>
      </c>
      <c r="E58" s="35" t="s">
        <v>50</v>
      </c>
      <c r="F58" s="81">
        <f>(38+10+7+7+7+7+7+7)</f>
        <v>90</v>
      </c>
      <c r="H58" s="33"/>
    </row>
    <row r="59" spans="2:8" s="32" customFormat="1">
      <c r="B59" s="92"/>
      <c r="C59" s="93" t="s">
        <v>124</v>
      </c>
      <c r="D59" s="94" t="s">
        <v>125</v>
      </c>
      <c r="E59" s="95"/>
      <c r="F59" s="96"/>
      <c r="H59" s="33"/>
    </row>
    <row r="60" spans="2:8" s="32" customFormat="1" ht="37.5">
      <c r="B60" s="97">
        <f>B58+1</f>
        <v>35</v>
      </c>
      <c r="C60" s="98"/>
      <c r="D60" s="99" t="s">
        <v>150</v>
      </c>
      <c r="E60" s="100" t="s">
        <v>126</v>
      </c>
      <c r="F60" s="101">
        <f>(285+99+32+34+30+20+197)</f>
        <v>697</v>
      </c>
      <c r="H60" s="33"/>
    </row>
    <row r="61" spans="2:8" s="32" customFormat="1">
      <c r="B61" s="70"/>
      <c r="C61" s="63" t="s">
        <v>80</v>
      </c>
      <c r="D61" s="52" t="s">
        <v>81</v>
      </c>
      <c r="E61" s="44"/>
      <c r="F61" s="48"/>
      <c r="H61" s="33"/>
    </row>
    <row r="62" spans="2:8" s="32" customFormat="1" ht="37.5">
      <c r="B62" s="71">
        <f>B60+1</f>
        <v>36</v>
      </c>
      <c r="C62" s="84"/>
      <c r="D62" s="53" t="s">
        <v>151</v>
      </c>
      <c r="E62" s="35" t="s">
        <v>50</v>
      </c>
      <c r="F62" s="81">
        <f>(70+26.5+44.5+50+16.5+17.5+15.5+10.5+58+30+3.5)</f>
        <v>342.5</v>
      </c>
      <c r="H62" s="33"/>
    </row>
    <row r="63" spans="2:8">
      <c r="B63" s="69"/>
      <c r="C63" s="62" t="s">
        <v>86</v>
      </c>
      <c r="D63" s="54" t="s">
        <v>87</v>
      </c>
      <c r="E63" s="39"/>
      <c r="F63" s="49"/>
      <c r="H63" s="33"/>
    </row>
    <row r="64" spans="2:8" ht="26">
      <c r="B64" s="70"/>
      <c r="C64" s="63" t="s">
        <v>99</v>
      </c>
      <c r="D64" s="52" t="s">
        <v>108</v>
      </c>
      <c r="E64" s="44"/>
      <c r="F64" s="48"/>
    </row>
    <row r="65" spans="2:6" s="32" customFormat="1">
      <c r="B65" s="71">
        <f>B62+1</f>
        <v>37</v>
      </c>
      <c r="C65" s="53"/>
      <c r="D65" s="53" t="s">
        <v>152</v>
      </c>
      <c r="E65" s="35" t="s">
        <v>102</v>
      </c>
      <c r="F65" s="91">
        <v>4</v>
      </c>
    </row>
    <row r="81" spans="9:9">
      <c r="I81" t="s">
        <v>91</v>
      </c>
    </row>
  </sheetData>
  <mergeCells count="7">
    <mergeCell ref="B3:F3"/>
    <mergeCell ref="B4:F4"/>
    <mergeCell ref="B5:B6"/>
    <mergeCell ref="C5:C6"/>
    <mergeCell ref="D5:D6"/>
    <mergeCell ref="E5:E6"/>
    <mergeCell ref="F5:F6"/>
  </mergeCells>
  <pageMargins left="0.70866141732283472" right="0.70866141732283472" top="0.74803149606299213" bottom="0.74803149606299213" header="0.31496062992125984" footer="0.31496062992125984"/>
  <pageSetup paperSize="9" scale="69" orientation="portrait" r:id="rId1"/>
  <colBreaks count="1" manualBreakCount="1">
    <brk id="6" min="2" max="8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  <pageSetUpPr fitToPage="1"/>
  </sheetPr>
  <dimension ref="B2:I25"/>
  <sheetViews>
    <sheetView tabSelected="1" zoomScale="55" zoomScaleNormal="55" zoomScaleSheetLayoutView="160" workbookViewId="0">
      <selection activeCell="B3" sqref="B3:G25"/>
    </sheetView>
  </sheetViews>
  <sheetFormatPr defaultColWidth="9" defaultRowHeight="14"/>
  <cols>
    <col min="1" max="1" width="9" style="76"/>
    <col min="2" max="2" width="5.08203125" style="76" customWidth="1"/>
    <col min="3" max="3" width="52.08203125" style="76" customWidth="1"/>
    <col min="4" max="4" width="6.5" style="76" customWidth="1"/>
    <col min="5" max="5" width="9" style="76"/>
    <col min="6" max="6" width="11.9140625" style="76" customWidth="1"/>
    <col min="7" max="7" width="14.6640625" style="76" customWidth="1"/>
    <col min="8" max="8" width="9" style="76"/>
    <col min="9" max="9" width="9.9140625" style="76" bestFit="1" customWidth="1"/>
    <col min="10" max="16384" width="9" style="76"/>
  </cols>
  <sheetData>
    <row r="2" spans="2:9" ht="14.5" thickBot="1">
      <c r="B2" s="77"/>
      <c r="C2" s="77"/>
      <c r="D2" s="77"/>
      <c r="E2" s="77"/>
      <c r="F2" s="77"/>
      <c r="G2" s="77"/>
    </row>
    <row r="3" spans="2:9" ht="20.5" thickBot="1">
      <c r="B3" s="139" t="s">
        <v>181</v>
      </c>
      <c r="C3" s="140"/>
      <c r="D3" s="140"/>
      <c r="E3" s="140"/>
      <c r="F3" s="140"/>
      <c r="G3" s="141"/>
    </row>
    <row r="4" spans="2:9" ht="50.4" customHeight="1" thickBot="1">
      <c r="B4" s="142" t="s">
        <v>174</v>
      </c>
      <c r="C4" s="143"/>
      <c r="D4" s="143"/>
      <c r="E4" s="143"/>
      <c r="F4" s="143"/>
      <c r="G4" s="144"/>
    </row>
    <row r="5" spans="2:9" ht="22.5" customHeight="1">
      <c r="B5" s="145" t="s">
        <v>60</v>
      </c>
      <c r="C5" s="147" t="s">
        <v>74</v>
      </c>
      <c r="D5" s="149" t="s">
        <v>76</v>
      </c>
      <c r="E5" s="150"/>
      <c r="F5" s="151" t="s">
        <v>158</v>
      </c>
      <c r="G5" s="153" t="s">
        <v>159</v>
      </c>
    </row>
    <row r="6" spans="2:9" ht="22.5" customHeight="1" thickBot="1">
      <c r="B6" s="146"/>
      <c r="C6" s="148"/>
      <c r="D6" s="106" t="s">
        <v>75</v>
      </c>
      <c r="E6" s="106" t="s">
        <v>64</v>
      </c>
      <c r="F6" s="152"/>
      <c r="G6" s="154"/>
    </row>
    <row r="7" spans="2:9" ht="26.4" customHeight="1">
      <c r="B7" s="113">
        <v>1</v>
      </c>
      <c r="C7" s="114" t="s">
        <v>163</v>
      </c>
      <c r="D7" s="115" t="s">
        <v>164</v>
      </c>
      <c r="E7" s="116">
        <v>1</v>
      </c>
      <c r="F7" s="117"/>
      <c r="G7" s="118"/>
    </row>
    <row r="8" spans="2:9" ht="25">
      <c r="B8" s="66">
        <v>2</v>
      </c>
      <c r="C8" s="53" t="s">
        <v>169</v>
      </c>
      <c r="D8" s="86" t="s">
        <v>68</v>
      </c>
      <c r="E8" s="110">
        <v>380</v>
      </c>
      <c r="F8" s="109"/>
      <c r="G8" s="105"/>
      <c r="I8" s="112"/>
    </row>
    <row r="9" spans="2:9" ht="25">
      <c r="B9" s="66">
        <v>3</v>
      </c>
      <c r="C9" s="53" t="s">
        <v>170</v>
      </c>
      <c r="D9" s="86" t="s">
        <v>50</v>
      </c>
      <c r="E9" s="110">
        <v>65</v>
      </c>
      <c r="F9" s="109"/>
      <c r="G9" s="105"/>
      <c r="I9" s="112"/>
    </row>
    <row r="10" spans="2:9" ht="25">
      <c r="B10" s="66">
        <v>4</v>
      </c>
      <c r="C10" s="53" t="s">
        <v>171</v>
      </c>
      <c r="D10" s="86" t="s">
        <v>50</v>
      </c>
      <c r="E10" s="110">
        <v>130</v>
      </c>
      <c r="F10" s="109"/>
      <c r="G10" s="105"/>
      <c r="I10" s="112"/>
    </row>
    <row r="11" spans="2:9" ht="25">
      <c r="B11" s="66">
        <v>5</v>
      </c>
      <c r="C11" s="104" t="s">
        <v>172</v>
      </c>
      <c r="D11" s="86" t="s">
        <v>161</v>
      </c>
      <c r="E11" s="110">
        <v>110</v>
      </c>
      <c r="F11" s="109"/>
      <c r="G11" s="105"/>
      <c r="I11" s="112"/>
    </row>
    <row r="12" spans="2:9" ht="12.65" customHeight="1">
      <c r="B12" s="66">
        <v>6</v>
      </c>
      <c r="C12" s="104" t="s">
        <v>173</v>
      </c>
      <c r="D12" s="86" t="s">
        <v>68</v>
      </c>
      <c r="E12" s="110">
        <v>380</v>
      </c>
      <c r="F12" s="109"/>
      <c r="G12" s="105"/>
      <c r="I12" s="112"/>
    </row>
    <row r="13" spans="2:9" ht="25">
      <c r="B13" s="66">
        <v>7</v>
      </c>
      <c r="C13" s="104" t="s">
        <v>182</v>
      </c>
      <c r="D13" s="86" t="s">
        <v>50</v>
      </c>
      <c r="E13" s="110">
        <v>120</v>
      </c>
      <c r="F13" s="109"/>
      <c r="G13" s="105"/>
      <c r="I13" s="112"/>
    </row>
    <row r="14" spans="2:9" ht="25">
      <c r="B14" s="66">
        <v>8</v>
      </c>
      <c r="C14" s="104" t="s">
        <v>175</v>
      </c>
      <c r="D14" s="86" t="s">
        <v>50</v>
      </c>
      <c r="E14" s="110">
        <v>10</v>
      </c>
      <c r="F14" s="109"/>
      <c r="G14" s="105"/>
      <c r="I14" s="112"/>
    </row>
    <row r="15" spans="2:9" ht="27.65" customHeight="1">
      <c r="B15" s="66">
        <v>9</v>
      </c>
      <c r="C15" s="104" t="s">
        <v>162</v>
      </c>
      <c r="D15" s="86" t="s">
        <v>50</v>
      </c>
      <c r="E15" s="102">
        <v>65</v>
      </c>
      <c r="F15" s="103"/>
      <c r="G15" s="105"/>
      <c r="I15" s="112"/>
    </row>
    <row r="16" spans="2:9" ht="26.4" customHeight="1">
      <c r="B16" s="66">
        <v>10</v>
      </c>
      <c r="C16" s="104" t="s">
        <v>166</v>
      </c>
      <c r="D16" s="86" t="s">
        <v>68</v>
      </c>
      <c r="E16" s="102">
        <v>380</v>
      </c>
      <c r="F16" s="103"/>
      <c r="G16" s="105"/>
      <c r="I16" s="112"/>
    </row>
    <row r="17" spans="2:9" ht="27.65" customHeight="1">
      <c r="B17" s="66">
        <v>11</v>
      </c>
      <c r="C17" s="104" t="s">
        <v>176</v>
      </c>
      <c r="D17" s="86" t="s">
        <v>68</v>
      </c>
      <c r="E17" s="102">
        <v>302</v>
      </c>
      <c r="F17" s="103"/>
      <c r="G17" s="105"/>
      <c r="I17" s="112"/>
    </row>
    <row r="18" spans="2:9" ht="27.65" customHeight="1">
      <c r="B18" s="108">
        <v>12</v>
      </c>
      <c r="C18" s="104" t="s">
        <v>177</v>
      </c>
      <c r="D18" s="86" t="s">
        <v>68</v>
      </c>
      <c r="E18" s="102">
        <v>50</v>
      </c>
      <c r="F18" s="103"/>
      <c r="G18" s="105"/>
      <c r="I18" s="112"/>
    </row>
    <row r="19" spans="2:9" ht="27" customHeight="1">
      <c r="B19" s="108">
        <v>13</v>
      </c>
      <c r="C19" s="104" t="s">
        <v>178</v>
      </c>
      <c r="D19" s="86" t="s">
        <v>68</v>
      </c>
      <c r="E19" s="102">
        <v>5</v>
      </c>
      <c r="F19" s="103"/>
      <c r="G19" s="105"/>
      <c r="I19" s="112"/>
    </row>
    <row r="20" spans="2:9" ht="37.5">
      <c r="B20" s="108">
        <v>14</v>
      </c>
      <c r="C20" s="53" t="s">
        <v>179</v>
      </c>
      <c r="D20" s="86" t="s">
        <v>68</v>
      </c>
      <c r="E20" s="102">
        <v>23</v>
      </c>
      <c r="F20" s="103"/>
      <c r="G20" s="105"/>
      <c r="I20" s="112"/>
    </row>
    <row r="21" spans="2:9">
      <c r="B21" s="108">
        <v>15</v>
      </c>
      <c r="C21" s="53" t="s">
        <v>180</v>
      </c>
      <c r="D21" s="86" t="s">
        <v>102</v>
      </c>
      <c r="E21" s="102">
        <v>4</v>
      </c>
      <c r="F21" s="103"/>
      <c r="G21" s="105"/>
      <c r="I21" s="112"/>
    </row>
    <row r="22" spans="2:9" ht="14.5" thickBot="1">
      <c r="B22" s="108">
        <v>16</v>
      </c>
      <c r="C22" s="53" t="s">
        <v>165</v>
      </c>
      <c r="D22" s="86" t="s">
        <v>102</v>
      </c>
      <c r="E22" s="102">
        <v>4</v>
      </c>
      <c r="F22" s="103"/>
      <c r="G22" s="105"/>
      <c r="I22" s="112"/>
    </row>
    <row r="23" spans="2:9" ht="14.5" thickBot="1">
      <c r="B23" s="136" t="s">
        <v>160</v>
      </c>
      <c r="C23" s="137"/>
      <c r="D23" s="137"/>
      <c r="E23" s="137"/>
      <c r="F23" s="138"/>
      <c r="G23" s="107"/>
      <c r="I23" s="111"/>
    </row>
    <row r="24" spans="2:9" ht="14.5" thickBot="1">
      <c r="F24" s="119" t="s">
        <v>167</v>
      </c>
      <c r="G24" s="120"/>
    </row>
    <row r="25" spans="2:9" ht="14.5" thickBot="1">
      <c r="B25" s="136" t="s">
        <v>168</v>
      </c>
      <c r="C25" s="137"/>
      <c r="D25" s="137"/>
      <c r="E25" s="137"/>
      <c r="F25" s="138"/>
      <c r="G25" s="107"/>
    </row>
  </sheetData>
  <mergeCells count="9">
    <mergeCell ref="B25:F25"/>
    <mergeCell ref="B23:F23"/>
    <mergeCell ref="B3:G3"/>
    <mergeCell ref="B4:G4"/>
    <mergeCell ref="B5:B6"/>
    <mergeCell ref="C5:C6"/>
    <mergeCell ref="D5:E5"/>
    <mergeCell ref="F5:F6"/>
    <mergeCell ref="G5:G6"/>
  </mergeCells>
  <pageMargins left="0.7" right="0.7" top="0.75" bottom="0.75" header="0.3" footer="0.3"/>
  <pageSetup paperSize="9" scale="74" fitToHeight="0" orientation="portrait" horizontalDpi="400" verticalDpi="4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K45"/>
  <sheetViews>
    <sheetView workbookViewId="0"/>
  </sheetViews>
  <sheetFormatPr defaultRowHeight="14"/>
  <cols>
    <col min="1" max="1" width="12.1640625" customWidth="1"/>
    <col min="2" max="2" width="6.08203125" customWidth="1"/>
    <col min="3" max="3" width="11.4140625" customWidth="1"/>
    <col min="4" max="4" width="9.9140625" customWidth="1"/>
    <col min="5" max="5" width="14.4140625" customWidth="1"/>
    <col min="6" max="6" width="14.6640625" customWidth="1"/>
    <col min="7" max="7" width="10.08203125" customWidth="1"/>
    <col min="8" max="8" width="10" customWidth="1"/>
    <col min="9" max="9" width="10.6640625" customWidth="1"/>
    <col min="10" max="10" width="11.4140625" customWidth="1"/>
  </cols>
  <sheetData>
    <row r="1" spans="1:11">
      <c r="J1" s="1" t="s">
        <v>0</v>
      </c>
    </row>
    <row r="2" spans="1:11" ht="18">
      <c r="A2" s="3" t="s">
        <v>1</v>
      </c>
      <c r="D2" s="2"/>
      <c r="E2" s="2"/>
      <c r="F2" s="2"/>
      <c r="G2" s="2"/>
      <c r="H2" s="2"/>
    </row>
    <row r="4" spans="1:11" ht="15.5">
      <c r="A4" s="4" t="s">
        <v>2</v>
      </c>
    </row>
    <row r="5" spans="1:11" ht="14.5" thickBot="1"/>
    <row r="6" spans="1:11" ht="26">
      <c r="A6" s="9" t="s">
        <v>54</v>
      </c>
      <c r="B6" s="159" t="s">
        <v>59</v>
      </c>
      <c r="C6" s="10" t="s">
        <v>35</v>
      </c>
      <c r="D6" s="11" t="s">
        <v>37</v>
      </c>
      <c r="E6" s="161" t="s">
        <v>38</v>
      </c>
      <c r="F6" s="161" t="s">
        <v>39</v>
      </c>
      <c r="G6" s="163" t="s">
        <v>40</v>
      </c>
      <c r="H6" s="163" t="s">
        <v>41</v>
      </c>
      <c r="I6" s="163" t="s">
        <v>52</v>
      </c>
      <c r="J6" s="155" t="s">
        <v>42</v>
      </c>
      <c r="K6" s="6"/>
    </row>
    <row r="7" spans="1:11" ht="84.75" customHeight="1" thickBot="1">
      <c r="A7" s="12" t="s">
        <v>3</v>
      </c>
      <c r="B7" s="160"/>
      <c r="C7" s="13" t="s">
        <v>36</v>
      </c>
      <c r="D7" s="14" t="s">
        <v>43</v>
      </c>
      <c r="E7" s="162"/>
      <c r="F7" s="162"/>
      <c r="G7" s="164"/>
      <c r="H7" s="164"/>
      <c r="I7" s="164"/>
      <c r="J7" s="156"/>
      <c r="K7" s="6"/>
    </row>
    <row r="8" spans="1:11" ht="13.5" customHeight="1" thickBot="1">
      <c r="A8" s="15"/>
      <c r="B8" s="16"/>
      <c r="C8" s="17" t="s">
        <v>58</v>
      </c>
      <c r="D8" s="17" t="s">
        <v>51</v>
      </c>
      <c r="E8" s="17" t="s">
        <v>49</v>
      </c>
      <c r="F8" s="17" t="s">
        <v>49</v>
      </c>
      <c r="G8" s="17" t="s">
        <v>49</v>
      </c>
      <c r="H8" s="17" t="s">
        <v>49</v>
      </c>
      <c r="I8" s="17" t="s">
        <v>51</v>
      </c>
      <c r="J8" s="18" t="s">
        <v>49</v>
      </c>
      <c r="K8" s="6"/>
    </row>
    <row r="9" spans="1:11">
      <c r="A9" s="28" t="s">
        <v>4</v>
      </c>
      <c r="B9" s="7" t="s">
        <v>56</v>
      </c>
      <c r="C9" s="29">
        <v>4.5</v>
      </c>
      <c r="D9" s="27">
        <f>0.86*C9*1.1</f>
        <v>4.2570000000000006</v>
      </c>
      <c r="E9" s="27">
        <f>2*0.5*(2.7+0.6)*0.7*1.1</f>
        <v>2.5410000000000004</v>
      </c>
      <c r="F9" s="27">
        <v>26</v>
      </c>
      <c r="G9" s="27">
        <v>5</v>
      </c>
      <c r="H9" s="27">
        <f>4.7*C9*1.1</f>
        <v>23.265000000000004</v>
      </c>
      <c r="I9" s="27">
        <f>0.6*0.3*C9*1.1</f>
        <v>0.89100000000000001</v>
      </c>
      <c r="J9" s="30">
        <f>2*C9*1.1</f>
        <v>9.9</v>
      </c>
      <c r="K9" s="6"/>
    </row>
    <row r="10" spans="1:11">
      <c r="A10" s="19" t="s">
        <v>5</v>
      </c>
      <c r="B10" s="5" t="s">
        <v>56</v>
      </c>
      <c r="C10" s="24">
        <v>4.5</v>
      </c>
      <c r="D10" s="26">
        <f>0.9*C10*1.1</f>
        <v>4.4550000000000001</v>
      </c>
      <c r="E10" s="27">
        <f t="shared" ref="E10:E44" si="0">2*0.5*(2.7+0.6)*0.7*1.1</f>
        <v>2.5410000000000004</v>
      </c>
      <c r="F10" s="22">
        <v>26</v>
      </c>
      <c r="G10" s="22">
        <v>5</v>
      </c>
      <c r="H10" s="27">
        <f>4.7*C10*1.1</f>
        <v>23.265000000000004</v>
      </c>
      <c r="I10" s="27">
        <f t="shared" ref="I10:I44" si="1">0.6*0.3*C10*1.1</f>
        <v>0.89100000000000001</v>
      </c>
      <c r="J10" s="30">
        <f>2*C10*1.1</f>
        <v>9.9</v>
      </c>
      <c r="K10" s="6"/>
    </row>
    <row r="11" spans="1:11">
      <c r="A11" s="19" t="s">
        <v>6</v>
      </c>
      <c r="B11" s="5" t="s">
        <v>55</v>
      </c>
      <c r="C11" s="24">
        <v>4</v>
      </c>
      <c r="D11" s="26">
        <f>0.9*C11*1.1</f>
        <v>3.9600000000000004</v>
      </c>
      <c r="E11" s="27">
        <f t="shared" si="0"/>
        <v>2.5410000000000004</v>
      </c>
      <c r="F11" s="22">
        <v>25</v>
      </c>
      <c r="G11" s="22">
        <v>5</v>
      </c>
      <c r="H11" s="27">
        <f>4.7*C11*1.1</f>
        <v>20.680000000000003</v>
      </c>
      <c r="I11" s="27">
        <f t="shared" si="1"/>
        <v>0.79200000000000004</v>
      </c>
      <c r="J11" s="30">
        <f>2*C11*1.1</f>
        <v>8.8000000000000007</v>
      </c>
      <c r="K11" s="6"/>
    </row>
    <row r="12" spans="1:11">
      <c r="A12" s="19" t="s">
        <v>7</v>
      </c>
      <c r="B12" s="5" t="s">
        <v>55</v>
      </c>
      <c r="C12" s="24">
        <v>4.2</v>
      </c>
      <c r="D12" s="26">
        <f>0.84*C12*1.1</f>
        <v>3.8808000000000002</v>
      </c>
      <c r="E12" s="27">
        <f t="shared" si="0"/>
        <v>2.5410000000000004</v>
      </c>
      <c r="F12" s="22">
        <v>26</v>
      </c>
      <c r="G12" s="22">
        <v>5</v>
      </c>
      <c r="H12" s="27">
        <f>4.8*C12*1.1</f>
        <v>22.176000000000002</v>
      </c>
      <c r="I12" s="27">
        <f t="shared" si="1"/>
        <v>0.83160000000000012</v>
      </c>
      <c r="J12" s="30">
        <f t="shared" ref="J12:J44" si="2">2*C12*1.1</f>
        <v>9.240000000000002</v>
      </c>
      <c r="K12" s="6"/>
    </row>
    <row r="13" spans="1:11">
      <c r="A13" s="19" t="s">
        <v>8</v>
      </c>
      <c r="B13" s="5" t="s">
        <v>56</v>
      </c>
      <c r="C13" s="24">
        <v>4.5</v>
      </c>
      <c r="D13" s="26">
        <f>1.07*C13*1.1</f>
        <v>5.2965000000000009</v>
      </c>
      <c r="E13" s="27">
        <f t="shared" si="0"/>
        <v>2.5410000000000004</v>
      </c>
      <c r="F13" s="22">
        <v>26</v>
      </c>
      <c r="G13" s="22">
        <v>7</v>
      </c>
      <c r="H13" s="27">
        <f>4.5*C13*1.1</f>
        <v>22.275000000000002</v>
      </c>
      <c r="I13" s="27">
        <f t="shared" si="1"/>
        <v>0.89100000000000001</v>
      </c>
      <c r="J13" s="30">
        <f t="shared" si="2"/>
        <v>9.9</v>
      </c>
      <c r="K13" s="6"/>
    </row>
    <row r="14" spans="1:11">
      <c r="A14" s="19" t="s">
        <v>9</v>
      </c>
      <c r="B14" s="5" t="s">
        <v>56</v>
      </c>
      <c r="C14" s="24">
        <v>4.5</v>
      </c>
      <c r="D14" s="26">
        <f>1.09*C14*1.1</f>
        <v>5.3955000000000011</v>
      </c>
      <c r="E14" s="27">
        <f t="shared" si="0"/>
        <v>2.5410000000000004</v>
      </c>
      <c r="F14" s="22">
        <v>26</v>
      </c>
      <c r="G14" s="22">
        <v>7</v>
      </c>
      <c r="H14" s="27">
        <f>4.7*C14*1.1</f>
        <v>23.265000000000004</v>
      </c>
      <c r="I14" s="27">
        <f t="shared" si="1"/>
        <v>0.89100000000000001</v>
      </c>
      <c r="J14" s="30">
        <f t="shared" si="2"/>
        <v>9.9</v>
      </c>
      <c r="K14" s="6"/>
    </row>
    <row r="15" spans="1:11">
      <c r="A15" s="19" t="s">
        <v>10</v>
      </c>
      <c r="B15" s="5" t="s">
        <v>56</v>
      </c>
      <c r="C15" s="24">
        <v>4.5</v>
      </c>
      <c r="D15" s="26">
        <f>0.95*C15*1.1</f>
        <v>4.7024999999999997</v>
      </c>
      <c r="E15" s="27">
        <f t="shared" si="0"/>
        <v>2.5410000000000004</v>
      </c>
      <c r="F15" s="22">
        <v>26</v>
      </c>
      <c r="G15" s="22">
        <v>6</v>
      </c>
      <c r="H15" s="27">
        <f>4.7*C15*1.1</f>
        <v>23.265000000000004</v>
      </c>
      <c r="I15" s="27">
        <f t="shared" si="1"/>
        <v>0.89100000000000001</v>
      </c>
      <c r="J15" s="30">
        <f t="shared" si="2"/>
        <v>9.9</v>
      </c>
      <c r="K15" s="6"/>
    </row>
    <row r="16" spans="1:11">
      <c r="A16" s="19" t="s">
        <v>11</v>
      </c>
      <c r="B16" s="5" t="s">
        <v>56</v>
      </c>
      <c r="C16" s="24">
        <v>6.5</v>
      </c>
      <c r="D16" s="26">
        <f>4.27*C16*1.1</f>
        <v>30.530499999999996</v>
      </c>
      <c r="E16" s="27">
        <f t="shared" si="0"/>
        <v>2.5410000000000004</v>
      </c>
      <c r="F16" s="22">
        <v>32</v>
      </c>
      <c r="G16" s="22">
        <v>12</v>
      </c>
      <c r="H16" s="27">
        <f>5.5*C16*1.1</f>
        <v>39.325000000000003</v>
      </c>
      <c r="I16" s="27">
        <f t="shared" si="1"/>
        <v>1.2869999999999999</v>
      </c>
      <c r="J16" s="30">
        <f t="shared" si="2"/>
        <v>14.3</v>
      </c>
      <c r="K16" s="6"/>
    </row>
    <row r="17" spans="1:11">
      <c r="A17" s="19" t="s">
        <v>12</v>
      </c>
      <c r="B17" s="5" t="s">
        <v>56</v>
      </c>
      <c r="C17" s="24">
        <v>4.5</v>
      </c>
      <c r="D17" s="26">
        <f>0.9*C17*1.1</f>
        <v>4.4550000000000001</v>
      </c>
      <c r="E17" s="27">
        <f t="shared" si="0"/>
        <v>2.5410000000000004</v>
      </c>
      <c r="F17" s="22">
        <v>26</v>
      </c>
      <c r="G17" s="22">
        <v>5</v>
      </c>
      <c r="H17" s="27">
        <f>4.6*C17*1.1</f>
        <v>22.77</v>
      </c>
      <c r="I17" s="27">
        <f t="shared" si="1"/>
        <v>0.89100000000000001</v>
      </c>
      <c r="J17" s="30">
        <f t="shared" si="2"/>
        <v>9.9</v>
      </c>
      <c r="K17" s="6"/>
    </row>
    <row r="18" spans="1:11">
      <c r="A18" s="19" t="s">
        <v>13</v>
      </c>
      <c r="B18" s="5" t="s">
        <v>56</v>
      </c>
      <c r="C18" s="24">
        <v>4.5</v>
      </c>
      <c r="D18" s="26">
        <f>1.09*C18*1.1</f>
        <v>5.3955000000000011</v>
      </c>
      <c r="E18" s="27">
        <f t="shared" si="0"/>
        <v>2.5410000000000004</v>
      </c>
      <c r="F18" s="22">
        <v>26</v>
      </c>
      <c r="G18" s="22">
        <v>6</v>
      </c>
      <c r="H18" s="27">
        <f>4.5*C18*1.1</f>
        <v>22.275000000000002</v>
      </c>
      <c r="I18" s="27">
        <f t="shared" si="1"/>
        <v>0.89100000000000001</v>
      </c>
      <c r="J18" s="30">
        <f t="shared" si="2"/>
        <v>9.9</v>
      </c>
      <c r="K18" s="6"/>
    </row>
    <row r="19" spans="1:11">
      <c r="A19" s="19" t="s">
        <v>14</v>
      </c>
      <c r="B19" s="5" t="s">
        <v>56</v>
      </c>
      <c r="C19" s="24">
        <v>5.7</v>
      </c>
      <c r="D19" s="26">
        <f>2.65*C19*1.1</f>
        <v>16.615500000000001</v>
      </c>
      <c r="E19" s="27">
        <f t="shared" si="0"/>
        <v>2.5410000000000004</v>
      </c>
      <c r="F19" s="22">
        <v>27</v>
      </c>
      <c r="G19" s="22">
        <v>10</v>
      </c>
      <c r="H19" s="27">
        <f>5.1*C19*1.1</f>
        <v>31.977000000000004</v>
      </c>
      <c r="I19" s="27">
        <f t="shared" si="1"/>
        <v>1.1286</v>
      </c>
      <c r="J19" s="30">
        <f t="shared" si="2"/>
        <v>12.540000000000001</v>
      </c>
      <c r="K19" s="6"/>
    </row>
    <row r="20" spans="1:11">
      <c r="A20" s="19" t="s">
        <v>15</v>
      </c>
      <c r="B20" s="5" t="s">
        <v>56</v>
      </c>
      <c r="C20" s="24">
        <v>4.5</v>
      </c>
      <c r="D20" s="26">
        <f>1.26*C20*1.1</f>
        <v>6.2370000000000001</v>
      </c>
      <c r="E20" s="27">
        <f t="shared" si="0"/>
        <v>2.5410000000000004</v>
      </c>
      <c r="F20" s="22">
        <v>26</v>
      </c>
      <c r="G20" s="22">
        <v>6</v>
      </c>
      <c r="H20" s="27">
        <f>4.6*C20*1.1</f>
        <v>22.77</v>
      </c>
      <c r="I20" s="27">
        <f t="shared" si="1"/>
        <v>0.89100000000000001</v>
      </c>
      <c r="J20" s="30">
        <f t="shared" si="2"/>
        <v>9.9</v>
      </c>
      <c r="K20" s="6"/>
    </row>
    <row r="21" spans="1:11">
      <c r="A21" s="19" t="s">
        <v>16</v>
      </c>
      <c r="B21" s="5" t="s">
        <v>56</v>
      </c>
      <c r="C21" s="24">
        <v>4</v>
      </c>
      <c r="D21" s="26">
        <f>0.8*C21*1.1</f>
        <v>3.5200000000000005</v>
      </c>
      <c r="E21" s="27">
        <f t="shared" si="0"/>
        <v>2.5410000000000004</v>
      </c>
      <c r="F21" s="22">
        <v>25</v>
      </c>
      <c r="G21" s="22">
        <v>4</v>
      </c>
      <c r="H21" s="27">
        <f t="shared" ref="H21:H26" si="3">4.4*C21*1.1</f>
        <v>19.360000000000003</v>
      </c>
      <c r="I21" s="27">
        <f t="shared" si="1"/>
        <v>0.79200000000000004</v>
      </c>
      <c r="J21" s="30">
        <f t="shared" si="2"/>
        <v>8.8000000000000007</v>
      </c>
      <c r="K21" s="6"/>
    </row>
    <row r="22" spans="1:11">
      <c r="A22" s="19" t="s">
        <v>17</v>
      </c>
      <c r="B22" s="5" t="s">
        <v>55</v>
      </c>
      <c r="C22" s="24">
        <v>4.2</v>
      </c>
      <c r="D22" s="26">
        <f>0.9*C22*1.1</f>
        <v>4.1580000000000004</v>
      </c>
      <c r="E22" s="27">
        <f t="shared" si="0"/>
        <v>2.5410000000000004</v>
      </c>
      <c r="F22" s="22">
        <v>24</v>
      </c>
      <c r="G22" s="22">
        <v>4</v>
      </c>
      <c r="H22" s="27">
        <f t="shared" si="3"/>
        <v>20.328000000000007</v>
      </c>
      <c r="I22" s="27">
        <f t="shared" si="1"/>
        <v>0.83160000000000012</v>
      </c>
      <c r="J22" s="30">
        <f t="shared" si="2"/>
        <v>9.240000000000002</v>
      </c>
      <c r="K22" s="6"/>
    </row>
    <row r="23" spans="1:11">
      <c r="A23" s="19" t="s">
        <v>18</v>
      </c>
      <c r="B23" s="5" t="s">
        <v>55</v>
      </c>
      <c r="C23" s="24">
        <v>4</v>
      </c>
      <c r="D23" s="26">
        <f>0.86*C23*1.1</f>
        <v>3.7840000000000003</v>
      </c>
      <c r="E23" s="27">
        <f t="shared" si="0"/>
        <v>2.5410000000000004</v>
      </c>
      <c r="F23" s="22">
        <v>24</v>
      </c>
      <c r="G23" s="22">
        <v>4</v>
      </c>
      <c r="H23" s="27">
        <f t="shared" si="3"/>
        <v>19.360000000000003</v>
      </c>
      <c r="I23" s="27">
        <f t="shared" si="1"/>
        <v>0.79200000000000004</v>
      </c>
      <c r="J23" s="30">
        <f t="shared" si="2"/>
        <v>8.8000000000000007</v>
      </c>
      <c r="K23" s="6"/>
    </row>
    <row r="24" spans="1:11">
      <c r="A24" s="19" t="s">
        <v>19</v>
      </c>
      <c r="B24" s="5" t="s">
        <v>56</v>
      </c>
      <c r="C24" s="24">
        <v>4.5</v>
      </c>
      <c r="D24" s="26">
        <f>0.89*C24*1.1</f>
        <v>4.4055</v>
      </c>
      <c r="E24" s="27">
        <f t="shared" si="0"/>
        <v>2.5410000000000004</v>
      </c>
      <c r="F24" s="22">
        <v>24</v>
      </c>
      <c r="G24" s="22">
        <v>4</v>
      </c>
      <c r="H24" s="27">
        <f t="shared" si="3"/>
        <v>21.78</v>
      </c>
      <c r="I24" s="27">
        <f t="shared" si="1"/>
        <v>0.89100000000000001</v>
      </c>
      <c r="J24" s="30">
        <f t="shared" si="2"/>
        <v>9.9</v>
      </c>
      <c r="K24" s="6"/>
    </row>
    <row r="25" spans="1:11">
      <c r="A25" s="19" t="s">
        <v>20</v>
      </c>
      <c r="B25" s="5" t="s">
        <v>56</v>
      </c>
      <c r="C25" s="24">
        <v>4.2</v>
      </c>
      <c r="D25" s="26">
        <f>1*C25*1.1</f>
        <v>4.620000000000001</v>
      </c>
      <c r="E25" s="27">
        <f t="shared" si="0"/>
        <v>2.5410000000000004</v>
      </c>
      <c r="F25" s="22">
        <v>24</v>
      </c>
      <c r="G25" s="22">
        <v>5</v>
      </c>
      <c r="H25" s="27">
        <f t="shared" si="3"/>
        <v>20.328000000000007</v>
      </c>
      <c r="I25" s="27">
        <f t="shared" si="1"/>
        <v>0.83160000000000012</v>
      </c>
      <c r="J25" s="30">
        <f t="shared" si="2"/>
        <v>9.240000000000002</v>
      </c>
      <c r="K25" s="6"/>
    </row>
    <row r="26" spans="1:11">
      <c r="A26" s="19" t="s">
        <v>22</v>
      </c>
      <c r="B26" s="5" t="s">
        <v>56</v>
      </c>
      <c r="C26" s="24">
        <v>4</v>
      </c>
      <c r="D26" s="26">
        <f>0.84*C26*1.1</f>
        <v>3.6960000000000002</v>
      </c>
      <c r="E26" s="27">
        <f t="shared" si="0"/>
        <v>2.5410000000000004</v>
      </c>
      <c r="F26" s="22">
        <v>24</v>
      </c>
      <c r="G26" s="22">
        <v>4</v>
      </c>
      <c r="H26" s="27">
        <f t="shared" si="3"/>
        <v>19.360000000000003</v>
      </c>
      <c r="I26" s="27">
        <f t="shared" si="1"/>
        <v>0.79200000000000004</v>
      </c>
      <c r="J26" s="30">
        <f t="shared" si="2"/>
        <v>8.8000000000000007</v>
      </c>
      <c r="K26" s="6"/>
    </row>
    <row r="27" spans="1:11">
      <c r="A27" s="19" t="s">
        <v>21</v>
      </c>
      <c r="B27" s="5" t="s">
        <v>56</v>
      </c>
      <c r="C27" s="24">
        <v>4.5</v>
      </c>
      <c r="D27" s="26">
        <f>1.21*C27*1.1</f>
        <v>5.9895000000000005</v>
      </c>
      <c r="E27" s="27">
        <f t="shared" si="0"/>
        <v>2.5410000000000004</v>
      </c>
      <c r="F27" s="22">
        <v>24</v>
      </c>
      <c r="G27" s="22">
        <v>7</v>
      </c>
      <c r="H27" s="27">
        <f>4.6*C27*1.1</f>
        <v>22.77</v>
      </c>
      <c r="I27" s="27">
        <f t="shared" si="1"/>
        <v>0.89100000000000001</v>
      </c>
      <c r="J27" s="30">
        <f t="shared" si="2"/>
        <v>9.9</v>
      </c>
      <c r="K27" s="6"/>
    </row>
    <row r="28" spans="1:11" ht="14.5">
      <c r="A28" s="19" t="s">
        <v>48</v>
      </c>
      <c r="B28" s="8" t="s">
        <v>57</v>
      </c>
      <c r="C28" s="24">
        <v>4</v>
      </c>
      <c r="D28" s="26">
        <f>0.8*C28*1.1</f>
        <v>3.5200000000000005</v>
      </c>
      <c r="E28" s="27">
        <f t="shared" si="0"/>
        <v>2.5410000000000004</v>
      </c>
      <c r="F28" s="22">
        <v>24</v>
      </c>
      <c r="G28" s="22">
        <v>4</v>
      </c>
      <c r="H28" s="27">
        <f>4.5*C28*1.1</f>
        <v>19.8</v>
      </c>
      <c r="I28" s="27">
        <f t="shared" si="1"/>
        <v>0.79200000000000004</v>
      </c>
      <c r="J28" s="30">
        <f t="shared" si="2"/>
        <v>8.8000000000000007</v>
      </c>
      <c r="K28" s="6"/>
    </row>
    <row r="29" spans="1:11" ht="14.5">
      <c r="A29" s="19" t="s">
        <v>47</v>
      </c>
      <c r="B29" s="8" t="s">
        <v>57</v>
      </c>
      <c r="C29" s="24">
        <v>4.5</v>
      </c>
      <c r="D29" s="26">
        <f>1*C29*1.1</f>
        <v>4.95</v>
      </c>
      <c r="E29" s="27">
        <f t="shared" si="0"/>
        <v>2.5410000000000004</v>
      </c>
      <c r="F29" s="22">
        <v>24</v>
      </c>
      <c r="G29" s="22">
        <v>5</v>
      </c>
      <c r="H29" s="27">
        <f>4.5*C29*1.1</f>
        <v>22.275000000000002</v>
      </c>
      <c r="I29" s="27">
        <f t="shared" si="1"/>
        <v>0.89100000000000001</v>
      </c>
      <c r="J29" s="30">
        <f t="shared" si="2"/>
        <v>9.9</v>
      </c>
      <c r="K29" s="6"/>
    </row>
    <row r="30" spans="1:11" ht="14.5">
      <c r="A30" s="19" t="s">
        <v>46</v>
      </c>
      <c r="B30" s="8" t="s">
        <v>57</v>
      </c>
      <c r="C30" s="24">
        <v>4.5</v>
      </c>
      <c r="D30" s="26">
        <f>1.29*C30*1.1</f>
        <v>6.3855000000000004</v>
      </c>
      <c r="E30" s="27">
        <f t="shared" si="0"/>
        <v>2.5410000000000004</v>
      </c>
      <c r="F30" s="22">
        <v>24</v>
      </c>
      <c r="G30" s="22">
        <v>6</v>
      </c>
      <c r="H30" s="27">
        <f>4.5*C30*1.1</f>
        <v>22.275000000000002</v>
      </c>
      <c r="I30" s="27">
        <f t="shared" si="1"/>
        <v>0.89100000000000001</v>
      </c>
      <c r="J30" s="30">
        <f t="shared" si="2"/>
        <v>9.9</v>
      </c>
      <c r="K30" s="6"/>
    </row>
    <row r="31" spans="1:11" ht="14.5">
      <c r="A31" s="19" t="s">
        <v>45</v>
      </c>
      <c r="B31" s="8" t="s">
        <v>57</v>
      </c>
      <c r="C31" s="24">
        <v>4.5</v>
      </c>
      <c r="D31" s="26">
        <f>1.15*C31*1.1</f>
        <v>5.6924999999999999</v>
      </c>
      <c r="E31" s="27">
        <f t="shared" si="0"/>
        <v>2.5410000000000004</v>
      </c>
      <c r="F31" s="22">
        <v>24</v>
      </c>
      <c r="G31" s="22">
        <v>6</v>
      </c>
      <c r="H31" s="27">
        <f>4.5*C31*1.1</f>
        <v>22.275000000000002</v>
      </c>
      <c r="I31" s="27">
        <f t="shared" si="1"/>
        <v>0.89100000000000001</v>
      </c>
      <c r="J31" s="30">
        <f t="shared" si="2"/>
        <v>9.9</v>
      </c>
      <c r="K31" s="6"/>
    </row>
    <row r="32" spans="1:11" ht="14.5">
      <c r="A32" s="19" t="s">
        <v>44</v>
      </c>
      <c r="B32" s="8" t="s">
        <v>57</v>
      </c>
      <c r="C32" s="24">
        <v>4.5</v>
      </c>
      <c r="D32" s="26">
        <f>1*C32*1.1</f>
        <v>4.95</v>
      </c>
      <c r="E32" s="27">
        <f t="shared" si="0"/>
        <v>2.5410000000000004</v>
      </c>
      <c r="F32" s="22">
        <v>24</v>
      </c>
      <c r="G32" s="22">
        <v>6</v>
      </c>
      <c r="H32" s="27">
        <f t="shared" ref="H32:H43" si="4">4.5*C32*1.1</f>
        <v>22.275000000000002</v>
      </c>
      <c r="I32" s="27">
        <f t="shared" si="1"/>
        <v>0.89100000000000001</v>
      </c>
      <c r="J32" s="30">
        <f t="shared" si="2"/>
        <v>9.9</v>
      </c>
      <c r="K32" s="6"/>
    </row>
    <row r="33" spans="1:11">
      <c r="A33" s="19" t="s">
        <v>23</v>
      </c>
      <c r="B33" s="5" t="s">
        <v>56</v>
      </c>
      <c r="C33" s="24">
        <v>4.5</v>
      </c>
      <c r="D33" s="26">
        <f>1.61*C33*1.1</f>
        <v>7.9695000000000009</v>
      </c>
      <c r="E33" s="27">
        <f t="shared" si="0"/>
        <v>2.5410000000000004</v>
      </c>
      <c r="F33" s="22">
        <v>24</v>
      </c>
      <c r="G33" s="22">
        <v>6</v>
      </c>
      <c r="H33" s="27">
        <f>5.6*C33*1.1</f>
        <v>27.720000000000002</v>
      </c>
      <c r="I33" s="27">
        <f t="shared" si="1"/>
        <v>0.89100000000000001</v>
      </c>
      <c r="J33" s="30">
        <f t="shared" si="2"/>
        <v>9.9</v>
      </c>
      <c r="K33" s="6"/>
    </row>
    <row r="34" spans="1:11">
      <c r="A34" s="19" t="s">
        <v>24</v>
      </c>
      <c r="B34" s="5" t="s">
        <v>56</v>
      </c>
      <c r="C34" s="24">
        <v>4.7</v>
      </c>
      <c r="D34" s="26">
        <f>1.46*C34*1.1</f>
        <v>7.5482000000000005</v>
      </c>
      <c r="E34" s="27">
        <f t="shared" si="0"/>
        <v>2.5410000000000004</v>
      </c>
      <c r="F34" s="22">
        <v>24</v>
      </c>
      <c r="G34" s="22">
        <v>7</v>
      </c>
      <c r="H34" s="27">
        <f t="shared" si="4"/>
        <v>23.265000000000004</v>
      </c>
      <c r="I34" s="27">
        <f t="shared" si="1"/>
        <v>0.93060000000000009</v>
      </c>
      <c r="J34" s="30">
        <f t="shared" si="2"/>
        <v>10.340000000000002</v>
      </c>
      <c r="K34" s="6"/>
    </row>
    <row r="35" spans="1:11">
      <c r="A35" s="19" t="s">
        <v>25</v>
      </c>
      <c r="B35" s="5" t="s">
        <v>56</v>
      </c>
      <c r="C35" s="24">
        <v>4.5</v>
      </c>
      <c r="D35" s="26">
        <f>0.9*C35*1.1</f>
        <v>4.4550000000000001</v>
      </c>
      <c r="E35" s="27">
        <f t="shared" si="0"/>
        <v>2.5410000000000004</v>
      </c>
      <c r="F35" s="22">
        <v>24</v>
      </c>
      <c r="G35" s="22">
        <v>4</v>
      </c>
      <c r="H35" s="27">
        <f t="shared" si="4"/>
        <v>22.275000000000002</v>
      </c>
      <c r="I35" s="27">
        <f t="shared" si="1"/>
        <v>0.89100000000000001</v>
      </c>
      <c r="J35" s="30">
        <f t="shared" si="2"/>
        <v>9.9</v>
      </c>
      <c r="K35" s="6"/>
    </row>
    <row r="36" spans="1:11">
      <c r="A36" s="19" t="s">
        <v>26</v>
      </c>
      <c r="B36" s="5" t="s">
        <v>56</v>
      </c>
      <c r="C36" s="24">
        <v>4</v>
      </c>
      <c r="D36" s="26">
        <f>0.8*C36*1.1</f>
        <v>3.5200000000000005</v>
      </c>
      <c r="E36" s="27">
        <f t="shared" si="0"/>
        <v>2.5410000000000004</v>
      </c>
      <c r="F36" s="22">
        <v>24</v>
      </c>
      <c r="G36" s="22">
        <v>4</v>
      </c>
      <c r="H36" s="27">
        <f t="shared" si="4"/>
        <v>19.8</v>
      </c>
      <c r="I36" s="27">
        <f t="shared" si="1"/>
        <v>0.79200000000000004</v>
      </c>
      <c r="J36" s="30">
        <f t="shared" si="2"/>
        <v>8.8000000000000007</v>
      </c>
      <c r="K36" s="6"/>
    </row>
    <row r="37" spans="1:11">
      <c r="A37" s="19" t="s">
        <v>27</v>
      </c>
      <c r="B37" s="5" t="s">
        <v>56</v>
      </c>
      <c r="C37" s="24">
        <v>7</v>
      </c>
      <c r="D37" s="26">
        <f>4.92*C37*1.1</f>
        <v>37.884</v>
      </c>
      <c r="E37" s="27">
        <f t="shared" si="0"/>
        <v>2.5410000000000004</v>
      </c>
      <c r="F37" s="22">
        <v>35</v>
      </c>
      <c r="G37" s="22">
        <v>12</v>
      </c>
      <c r="H37" s="27">
        <f>5.5*C37*1.1</f>
        <v>42.35</v>
      </c>
      <c r="I37" s="27">
        <f t="shared" si="1"/>
        <v>1.3860000000000001</v>
      </c>
      <c r="J37" s="30">
        <f t="shared" si="2"/>
        <v>15.400000000000002</v>
      </c>
      <c r="K37" s="6"/>
    </row>
    <row r="38" spans="1:11">
      <c r="A38" s="19" t="s">
        <v>28</v>
      </c>
      <c r="B38" s="5" t="s">
        <v>56</v>
      </c>
      <c r="C38" s="24">
        <v>5.5</v>
      </c>
      <c r="D38" s="26">
        <f>2.69*C38*1.1</f>
        <v>16.2745</v>
      </c>
      <c r="E38" s="27">
        <f t="shared" si="0"/>
        <v>2.5410000000000004</v>
      </c>
      <c r="F38" s="22">
        <v>27</v>
      </c>
      <c r="G38" s="22">
        <v>10</v>
      </c>
      <c r="H38" s="27">
        <f t="shared" si="4"/>
        <v>27.225000000000001</v>
      </c>
      <c r="I38" s="27">
        <f t="shared" si="1"/>
        <v>1.089</v>
      </c>
      <c r="J38" s="30">
        <f t="shared" si="2"/>
        <v>12.100000000000001</v>
      </c>
      <c r="K38" s="6"/>
    </row>
    <row r="39" spans="1:11">
      <c r="A39" s="19" t="s">
        <v>29</v>
      </c>
      <c r="B39" s="5" t="s">
        <v>56</v>
      </c>
      <c r="C39" s="24">
        <v>4.5</v>
      </c>
      <c r="D39" s="26">
        <f>1*C39*1.1</f>
        <v>4.95</v>
      </c>
      <c r="E39" s="27">
        <f t="shared" si="0"/>
        <v>2.5410000000000004</v>
      </c>
      <c r="F39" s="22">
        <v>24</v>
      </c>
      <c r="G39" s="22">
        <v>6</v>
      </c>
      <c r="H39" s="27">
        <f t="shared" si="4"/>
        <v>22.275000000000002</v>
      </c>
      <c r="I39" s="27">
        <f t="shared" si="1"/>
        <v>0.89100000000000001</v>
      </c>
      <c r="J39" s="30">
        <f t="shared" si="2"/>
        <v>9.9</v>
      </c>
      <c r="K39" s="6"/>
    </row>
    <row r="40" spans="1:11">
      <c r="A40" s="19" t="s">
        <v>30</v>
      </c>
      <c r="B40" s="5" t="s">
        <v>56</v>
      </c>
      <c r="C40" s="24">
        <v>4.5</v>
      </c>
      <c r="D40" s="26">
        <f>1*C40*1.1</f>
        <v>4.95</v>
      </c>
      <c r="E40" s="27">
        <f t="shared" si="0"/>
        <v>2.5410000000000004</v>
      </c>
      <c r="F40" s="22">
        <v>24</v>
      </c>
      <c r="G40" s="22">
        <v>6</v>
      </c>
      <c r="H40" s="27">
        <f t="shared" si="4"/>
        <v>22.275000000000002</v>
      </c>
      <c r="I40" s="27">
        <f t="shared" si="1"/>
        <v>0.89100000000000001</v>
      </c>
      <c r="J40" s="30">
        <f t="shared" si="2"/>
        <v>9.9</v>
      </c>
      <c r="K40" s="6"/>
    </row>
    <row r="41" spans="1:11">
      <c r="A41" s="19" t="s">
        <v>31</v>
      </c>
      <c r="B41" s="5" t="s">
        <v>55</v>
      </c>
      <c r="C41" s="24">
        <v>4.5</v>
      </c>
      <c r="D41" s="26">
        <f>16.8*C41*1.1</f>
        <v>83.160000000000011</v>
      </c>
      <c r="E41" s="27">
        <f t="shared" si="0"/>
        <v>2.5410000000000004</v>
      </c>
      <c r="F41" s="22"/>
      <c r="G41" s="22">
        <v>8</v>
      </c>
      <c r="H41" s="27">
        <f>21*C41*1.1</f>
        <v>103.95</v>
      </c>
      <c r="I41" s="27">
        <f t="shared" si="1"/>
        <v>0.89100000000000001</v>
      </c>
      <c r="J41" s="30">
        <f t="shared" si="2"/>
        <v>9.9</v>
      </c>
      <c r="K41" s="6"/>
    </row>
    <row r="42" spans="1:11">
      <c r="A42" s="19" t="s">
        <v>32</v>
      </c>
      <c r="B42" s="5" t="s">
        <v>55</v>
      </c>
      <c r="C42" s="24">
        <v>7</v>
      </c>
      <c r="D42" s="26">
        <f>5.1*C42*1.1</f>
        <v>39.269999999999996</v>
      </c>
      <c r="E42" s="27">
        <f t="shared" si="0"/>
        <v>2.5410000000000004</v>
      </c>
      <c r="F42" s="22">
        <v>26</v>
      </c>
      <c r="G42" s="22">
        <v>10</v>
      </c>
      <c r="H42" s="27">
        <f>4.6*C42*1.1</f>
        <v>35.42</v>
      </c>
      <c r="I42" s="27">
        <f t="shared" si="1"/>
        <v>1.3860000000000001</v>
      </c>
      <c r="J42" s="30">
        <f t="shared" si="2"/>
        <v>15.400000000000002</v>
      </c>
      <c r="K42" s="6"/>
    </row>
    <row r="43" spans="1:11">
      <c r="A43" s="19" t="s">
        <v>33</v>
      </c>
      <c r="B43" s="5" t="s">
        <v>55</v>
      </c>
      <c r="C43" s="24">
        <v>4</v>
      </c>
      <c r="D43" s="26">
        <f>0.85*C43*1.1</f>
        <v>3.74</v>
      </c>
      <c r="E43" s="27">
        <f t="shared" si="0"/>
        <v>2.5410000000000004</v>
      </c>
      <c r="F43" s="22">
        <v>24</v>
      </c>
      <c r="G43" s="22">
        <v>5</v>
      </c>
      <c r="H43" s="27">
        <f t="shared" si="4"/>
        <v>19.8</v>
      </c>
      <c r="I43" s="27">
        <f t="shared" si="1"/>
        <v>0.79200000000000004</v>
      </c>
      <c r="J43" s="30">
        <f t="shared" si="2"/>
        <v>8.8000000000000007</v>
      </c>
      <c r="K43" s="6"/>
    </row>
    <row r="44" spans="1:11" ht="14.5" thickBot="1">
      <c r="A44" s="20" t="s">
        <v>34</v>
      </c>
      <c r="B44" s="21" t="s">
        <v>55</v>
      </c>
      <c r="C44" s="25">
        <v>4.5</v>
      </c>
      <c r="D44" s="26">
        <f>1.55*C44*1.1</f>
        <v>7.6725000000000012</v>
      </c>
      <c r="E44" s="27">
        <f t="shared" si="0"/>
        <v>2.5410000000000004</v>
      </c>
      <c r="F44" s="23">
        <v>45</v>
      </c>
      <c r="G44" s="23">
        <v>6</v>
      </c>
      <c r="H44" s="27">
        <f>6*C44*1.1</f>
        <v>29.700000000000003</v>
      </c>
      <c r="I44" s="27">
        <f t="shared" si="1"/>
        <v>0.89100000000000001</v>
      </c>
      <c r="J44" s="30">
        <f t="shared" si="2"/>
        <v>9.9</v>
      </c>
      <c r="K44" s="6"/>
    </row>
    <row r="45" spans="1:11" ht="14.5" thickBot="1">
      <c r="A45" s="157" t="s">
        <v>53</v>
      </c>
      <c r="B45" s="158"/>
      <c r="C45" s="31">
        <f>SUM(C9:C44)</f>
        <v>167</v>
      </c>
      <c r="D45" s="31">
        <f t="shared" ref="D45:J45" si="5">SUM(D9:D44)</f>
        <v>372.24550000000005</v>
      </c>
      <c r="E45" s="31">
        <f t="shared" si="5"/>
        <v>91.475999999999928</v>
      </c>
      <c r="F45" s="31">
        <f>SUM(F9:F44)</f>
        <v>908</v>
      </c>
      <c r="G45" s="31">
        <f t="shared" si="5"/>
        <v>222</v>
      </c>
      <c r="H45" s="31">
        <f t="shared" si="5"/>
        <v>945.54899999999998</v>
      </c>
      <c r="I45" s="31">
        <f t="shared" si="5"/>
        <v>33.065999999999981</v>
      </c>
      <c r="J45" s="31">
        <f t="shared" si="5"/>
        <v>367.4</v>
      </c>
    </row>
  </sheetData>
  <customSheetViews>
    <customSheetView guid="{DFD46085-7CA0-4148-BC6E-BB530038F726}" showPageBreaks="1" view="pageBreakPreview" topLeftCell="A13">
      <selection activeCell="O39" sqref="O39"/>
      <pageMargins left="0.7" right="0.7" top="0.75" bottom="0.75" header="0.3" footer="0.3"/>
      <pageSetup paperSize="9" orientation="portrait" verticalDpi="0" r:id="rId1"/>
    </customSheetView>
    <customSheetView guid="{D77CCF3B-D797-41D0-B6E1-DD959026208A}" showPageBreaks="1" printArea="1" view="pageBreakPreview" topLeftCell="A13">
      <selection activeCell="O39" sqref="O39"/>
      <pageMargins left="0.7" right="0.7" top="0.75" bottom="0.75" header="0.3" footer="0.3"/>
      <pageSetup paperSize="9" scale="69" orientation="landscape" verticalDpi="0" r:id="rId2"/>
    </customSheetView>
    <customSheetView guid="{5E068C25-D435-46DE-A64A-D205E9289932}" showPageBreaks="1" printArea="1" view="pageBreakPreview" topLeftCell="A13">
      <selection activeCell="O39" sqref="O39"/>
      <pageMargins left="0.7" right="0.7" top="0.75" bottom="0.75" header="0.3" footer="0.3"/>
      <pageSetup paperSize="9" scale="69" orientation="landscape" verticalDpi="0" r:id="rId3"/>
    </customSheetView>
  </customSheetViews>
  <mergeCells count="8">
    <mergeCell ref="J6:J7"/>
    <mergeCell ref="A45:B45"/>
    <mergeCell ref="B6:B7"/>
    <mergeCell ref="E6:E7"/>
    <mergeCell ref="F6:F7"/>
    <mergeCell ref="G6:G7"/>
    <mergeCell ref="H6:H7"/>
    <mergeCell ref="I6:I7"/>
  </mergeCells>
  <phoneticPr fontId="8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2</vt:i4>
      </vt:variant>
    </vt:vector>
  </HeadingPairs>
  <TitlesOfParts>
    <vt:vector size="5" baseType="lpstr">
      <vt:lpstr>PRZEDMIAR</vt:lpstr>
      <vt:lpstr>KOSZTORYS INWESTORSKI</vt:lpstr>
      <vt:lpstr>&lt;--przepusty</vt:lpstr>
      <vt:lpstr>PRZEDMIAR!Obszar_wydruku</vt:lpstr>
      <vt:lpstr>PRZEDMIAR!Tytuły_wydruku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Michał Piłka</dc:creator>
  <cp:lastModifiedBy>Michał Piłka</cp:lastModifiedBy>
  <cp:lastPrinted>2021-09-29T10:55:31Z</cp:lastPrinted>
  <dcterms:created xsi:type="dcterms:W3CDTF">2010-07-09T16:08:03Z</dcterms:created>
  <dcterms:modified xsi:type="dcterms:W3CDTF">2022-05-23T08:20:45Z</dcterms:modified>
</cp:coreProperties>
</file>